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kocaj\Desktop\Analiza syt. na rynku pracy I pół. 2023 r\"/>
    </mc:Choice>
  </mc:AlternateContent>
  <xr:revisionPtr revIDLastSave="0" documentId="13_ncr:1_{7C06F445-2C0F-4E0A-A507-3462DC09B10E}" xr6:coauthVersionLast="47" xr6:coauthVersionMax="47" xr10:uidLastSave="{00000000-0000-0000-0000-000000000000}"/>
  <bookViews>
    <workbookView xWindow="-120" yWindow="-120" windowWidth="29040" windowHeight="15720" tabRatio="921" xr2:uid="{00000000-000D-0000-FFFF-FFFF00000000}"/>
  </bookViews>
  <sheets>
    <sheet name="T.I" sheetId="26" r:id="rId1"/>
    <sheet name="T.II" sheetId="2" r:id="rId2"/>
    <sheet name="T.II.A" sheetId="55" r:id="rId3"/>
    <sheet name="T.III" sheetId="6" r:id="rId4"/>
    <sheet name="T.IV" sheetId="28" r:id="rId5"/>
    <sheet name="T.V" sheetId="27" r:id="rId6"/>
    <sheet name="T.VI" sheetId="31" r:id="rId7"/>
    <sheet name="T.VII" sheetId="29" r:id="rId8"/>
    <sheet name="T.VIII" sheetId="32" r:id="rId9"/>
    <sheet name="T.IX T.X T.XI" sheetId="12" r:id="rId10"/>
    <sheet name="T.XII" sheetId="3" r:id="rId11"/>
    <sheet name="T.XIII" sheetId="37" r:id="rId12"/>
    <sheet name="T.XIV" sheetId="40" r:id="rId13"/>
    <sheet name="T.XV" sheetId="54" r:id="rId14"/>
    <sheet name="T.XVI" sheetId="39" r:id="rId15"/>
    <sheet name="T.XVII" sheetId="34" r:id="rId16"/>
    <sheet name="T.XVIII" sheetId="41" r:id="rId17"/>
    <sheet name="T.XIX" sheetId="42" r:id="rId18"/>
    <sheet name="T.XX" sheetId="17" r:id="rId19"/>
    <sheet name="T.XXI" sheetId="43" r:id="rId20"/>
    <sheet name="T.XXII" sheetId="44" r:id="rId21"/>
    <sheet name="T.XXIII" sheetId="56" r:id="rId22"/>
    <sheet name="T.XXIV" sheetId="18" r:id="rId23"/>
    <sheet name="T.XXV" sheetId="46" r:id="rId24"/>
    <sheet name="T.XXVI" sheetId="57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56" l="1"/>
  <c r="F20" i="56"/>
  <c r="J19" i="56"/>
  <c r="K15" i="56"/>
  <c r="J15" i="56"/>
  <c r="L19" i="56"/>
  <c r="F19" i="56"/>
  <c r="H22" i="56"/>
  <c r="H21" i="56"/>
  <c r="H20" i="56"/>
  <c r="H19" i="56"/>
  <c r="H18" i="56"/>
  <c r="H17" i="56"/>
  <c r="H16" i="56"/>
  <c r="H15" i="56"/>
  <c r="G15" i="56"/>
  <c r="D12" i="56"/>
  <c r="D13" i="56"/>
  <c r="C12" i="56"/>
  <c r="C13" i="56"/>
  <c r="F22" i="56"/>
  <c r="F21" i="56"/>
  <c r="F18" i="56"/>
  <c r="F17" i="56"/>
  <c r="F16" i="56"/>
  <c r="F15" i="56"/>
  <c r="G22" i="56"/>
  <c r="G21" i="56"/>
  <c r="G20" i="56"/>
  <c r="G19" i="56"/>
  <c r="G18" i="56"/>
  <c r="G17" i="56"/>
  <c r="G16" i="56"/>
  <c r="L15" i="56"/>
  <c r="L23" i="56"/>
  <c r="L22" i="56"/>
  <c r="L21" i="56"/>
  <c r="L18" i="56"/>
  <c r="L17" i="56"/>
  <c r="L16" i="56"/>
  <c r="K22" i="56"/>
  <c r="K21" i="56"/>
  <c r="K20" i="56"/>
  <c r="K19" i="56"/>
  <c r="K18" i="56"/>
  <c r="K17" i="56"/>
  <c r="K16" i="56"/>
  <c r="F13" i="56"/>
  <c r="J23" i="56"/>
  <c r="F23" i="56"/>
  <c r="D23" i="56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L12" i="3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R32" i="2"/>
  <c r="R31" i="2"/>
  <c r="R30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S6" i="2"/>
  <c r="R6" i="2"/>
  <c r="Q32" i="2"/>
  <c r="Q7" i="2"/>
  <c r="K13" i="56" l="1"/>
  <c r="S7" i="2"/>
  <c r="S33" i="2"/>
  <c r="L37" i="17" l="1"/>
  <c r="K10" i="43"/>
  <c r="K9" i="43"/>
  <c r="J26" i="46"/>
  <c r="H39" i="12"/>
  <c r="H38" i="12"/>
  <c r="H35" i="12"/>
  <c r="H34" i="12"/>
  <c r="H37" i="12"/>
  <c r="H36" i="12"/>
  <c r="L9" i="12"/>
  <c r="M8" i="12"/>
  <c r="M7" i="12"/>
  <c r="K8" i="12"/>
  <c r="K7" i="12"/>
  <c r="H8" i="12"/>
  <c r="H7" i="12"/>
  <c r="H21" i="12"/>
  <c r="H20" i="12"/>
  <c r="H10" i="6"/>
  <c r="D11" i="37"/>
  <c r="L11" i="37"/>
  <c r="K11" i="37"/>
  <c r="E35" i="17"/>
  <c r="C35" i="17"/>
  <c r="D35" i="17"/>
  <c r="N38" i="17"/>
  <c r="N37" i="17"/>
  <c r="G12" i="41"/>
  <c r="H17" i="41"/>
  <c r="G17" i="41"/>
  <c r="J17" i="41"/>
  <c r="I10" i="34"/>
  <c r="J10" i="34" s="1"/>
  <c r="G13" i="41"/>
  <c r="P27" i="37"/>
  <c r="P26" i="37"/>
  <c r="P24" i="37"/>
  <c r="N27" i="37"/>
  <c r="M27" i="37"/>
  <c r="L27" i="37"/>
  <c r="K27" i="37"/>
  <c r="L24" i="37"/>
  <c r="K24" i="37"/>
  <c r="L26" i="37"/>
  <c r="K26" i="37"/>
  <c r="L10" i="3"/>
  <c r="I7" i="3"/>
  <c r="L7" i="3"/>
  <c r="C34" i="27"/>
  <c r="F8" i="27"/>
  <c r="K7" i="6"/>
  <c r="K10" i="6"/>
  <c r="H20" i="6"/>
  <c r="D20" i="6"/>
  <c r="G20" i="6"/>
  <c r="C20" i="6"/>
  <c r="K10" i="34" l="1"/>
  <c r="G5" i="55"/>
  <c r="J8" i="26"/>
  <c r="N8" i="26"/>
  <c r="I8" i="26"/>
  <c r="J18" i="41"/>
  <c r="G18" i="41"/>
  <c r="F18" i="41"/>
  <c r="E18" i="41"/>
  <c r="D18" i="41"/>
  <c r="F43" i="39"/>
  <c r="E43" i="39"/>
  <c r="D43" i="39"/>
  <c r="C43" i="39"/>
  <c r="E7" i="39"/>
  <c r="D7" i="39"/>
  <c r="J30" i="3" l="1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8" i="3"/>
  <c r="I8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J7" i="3"/>
  <c r="H7" i="3"/>
  <c r="E7" i="3"/>
  <c r="I9" i="29"/>
  <c r="K17" i="6"/>
  <c r="K16" i="6"/>
  <c r="K15" i="6"/>
  <c r="K14" i="6"/>
  <c r="K13" i="6"/>
  <c r="K12" i="6"/>
  <c r="K9" i="6"/>
  <c r="J11" i="27"/>
  <c r="I11" i="27"/>
  <c r="E25" i="27"/>
  <c r="C25" i="27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8" i="28"/>
  <c r="E17" i="28"/>
  <c r="E16" i="28"/>
  <c r="E15" i="28"/>
  <c r="E14" i="28"/>
  <c r="E13" i="28"/>
  <c r="E12" i="28"/>
  <c r="E11" i="28"/>
  <c r="E10" i="28"/>
  <c r="J9" i="28"/>
  <c r="M7" i="6"/>
  <c r="M17" i="6"/>
  <c r="M16" i="6"/>
  <c r="M15" i="6"/>
  <c r="M14" i="6"/>
  <c r="M13" i="6"/>
  <c r="M12" i="6"/>
  <c r="M10" i="6"/>
  <c r="M9" i="6"/>
  <c r="L7" i="55"/>
  <c r="L6" i="55"/>
  <c r="G6" i="55"/>
  <c r="R30" i="55"/>
  <c r="R29" i="55"/>
  <c r="R28" i="55"/>
  <c r="R27" i="55"/>
  <c r="Q30" i="55"/>
  <c r="Q29" i="55"/>
  <c r="Q28" i="55"/>
  <c r="Q27" i="55"/>
  <c r="R26" i="55"/>
  <c r="Q26" i="55"/>
  <c r="R6" i="55"/>
  <c r="J5" i="55"/>
  <c r="I5" i="55"/>
  <c r="H5" i="55"/>
  <c r="E30" i="55"/>
  <c r="E29" i="55"/>
  <c r="L8" i="55" s="1"/>
  <c r="E28" i="55"/>
  <c r="E27" i="55"/>
  <c r="E26" i="55"/>
  <c r="G30" i="55"/>
  <c r="G29" i="55"/>
  <c r="G28" i="55"/>
  <c r="G27" i="55"/>
  <c r="G26" i="55"/>
  <c r="G25" i="55"/>
  <c r="G14" i="55"/>
  <c r="G13" i="55"/>
  <c r="G12" i="55"/>
  <c r="G11" i="55"/>
  <c r="G10" i="55"/>
  <c r="G9" i="55"/>
  <c r="G8" i="55"/>
  <c r="G7" i="55"/>
  <c r="F5" i="55"/>
  <c r="E5" i="55"/>
  <c r="D5" i="55"/>
  <c r="C5" i="55"/>
  <c r="M27" i="55"/>
  <c r="L27" i="55"/>
  <c r="C30" i="55"/>
  <c r="C29" i="55"/>
  <c r="C28" i="55"/>
  <c r="C27" i="55"/>
  <c r="C26" i="55"/>
  <c r="C25" i="55"/>
  <c r="C24" i="55"/>
  <c r="C23" i="55"/>
  <c r="C22" i="55"/>
  <c r="C21" i="55"/>
  <c r="C20" i="55"/>
  <c r="C19" i="55"/>
  <c r="C18" i="55"/>
  <c r="C17" i="55"/>
  <c r="C16" i="55"/>
  <c r="C15" i="55"/>
  <c r="C14" i="55"/>
  <c r="C13" i="55"/>
  <c r="C12" i="55"/>
  <c r="C11" i="55"/>
  <c r="C10" i="55"/>
  <c r="C9" i="55"/>
  <c r="C8" i="55"/>
  <c r="C7" i="55"/>
  <c r="C6" i="55"/>
  <c r="O9" i="54"/>
  <c r="P28" i="55" l="1"/>
  <c r="P30" i="55"/>
  <c r="O6" i="55"/>
  <c r="P29" i="55"/>
  <c r="O26" i="55"/>
  <c r="O27" i="55"/>
  <c r="O28" i="55"/>
  <c r="O29" i="55"/>
  <c r="O30" i="55"/>
  <c r="P27" i="55"/>
  <c r="P8" i="55"/>
  <c r="D31" i="34"/>
  <c r="D8" i="34"/>
  <c r="P36" i="17"/>
  <c r="P35" i="17"/>
  <c r="O35" i="17"/>
  <c r="M36" i="17"/>
  <c r="M35" i="17"/>
  <c r="G17" i="43"/>
  <c r="G10" i="43"/>
  <c r="J10" i="43" s="1"/>
  <c r="N10" i="43" s="1"/>
  <c r="C32" i="46"/>
  <c r="C31" i="46"/>
  <c r="C30" i="46"/>
  <c r="C29" i="46"/>
  <c r="C28" i="46"/>
  <c r="C27" i="46"/>
  <c r="C26" i="46"/>
  <c r="C25" i="46"/>
  <c r="C24" i="46"/>
  <c r="C23" i="46"/>
  <c r="C22" i="46"/>
  <c r="C21" i="46"/>
  <c r="C20" i="46"/>
  <c r="C19" i="46"/>
  <c r="C18" i="46"/>
  <c r="C17" i="46"/>
  <c r="C16" i="46"/>
  <c r="C15" i="46"/>
  <c r="C14" i="46"/>
  <c r="C13" i="46"/>
  <c r="C12" i="46"/>
  <c r="C11" i="46"/>
  <c r="C10" i="46"/>
  <c r="C9" i="46"/>
  <c r="C8" i="46"/>
  <c r="G9" i="2"/>
  <c r="G8" i="2"/>
  <c r="G7" i="2"/>
  <c r="F7" i="2"/>
  <c r="O8" i="55" l="1"/>
  <c r="P14" i="55"/>
  <c r="O14" i="55"/>
  <c r="I13" i="40"/>
  <c r="I12" i="40"/>
  <c r="I11" i="40"/>
  <c r="G24" i="37"/>
  <c r="G22" i="37"/>
  <c r="G21" i="37"/>
  <c r="E7" i="32"/>
  <c r="P31" i="57" l="1"/>
  <c r="P30" i="57"/>
  <c r="P29" i="57"/>
  <c r="P28" i="57"/>
  <c r="P27" i="57"/>
  <c r="P25" i="57"/>
  <c r="P24" i="57"/>
  <c r="P23" i="57"/>
  <c r="P21" i="57"/>
  <c r="P17" i="57"/>
  <c r="P16" i="57"/>
  <c r="P15" i="57"/>
  <c r="P14" i="57"/>
  <c r="P13" i="57"/>
  <c r="P11" i="57"/>
  <c r="P10" i="57"/>
  <c r="P9" i="57"/>
  <c r="P7" i="57"/>
  <c r="C7" i="27" l="1"/>
  <c r="L16" i="2"/>
  <c r="L15" i="2"/>
  <c r="L14" i="2"/>
  <c r="L13" i="2"/>
  <c r="L12" i="2"/>
  <c r="L11" i="2"/>
  <c r="L10" i="2"/>
  <c r="L9" i="2"/>
  <c r="L8" i="2"/>
  <c r="L7" i="2"/>
  <c r="K10" i="2"/>
  <c r="K9" i="2"/>
  <c r="K8" i="2"/>
  <c r="K7" i="2"/>
  <c r="K12" i="2"/>
  <c r="K11" i="2"/>
  <c r="F11" i="2"/>
  <c r="F9" i="2"/>
  <c r="F8" i="2"/>
  <c r="M34" i="17"/>
  <c r="O34" i="17"/>
  <c r="D26" i="37"/>
  <c r="H11" i="37"/>
  <c r="C23" i="56" l="1"/>
  <c r="F11" i="27" l="1"/>
  <c r="K6" i="37" l="1"/>
  <c r="M10" i="3"/>
  <c r="F18" i="27"/>
  <c r="G11" i="31"/>
  <c r="F10" i="27"/>
  <c r="O12" i="6"/>
  <c r="N12" i="6"/>
  <c r="N13" i="6" s="1"/>
  <c r="G43" i="34" l="1"/>
  <c r="G42" i="34"/>
  <c r="G41" i="34"/>
  <c r="G40" i="34"/>
  <c r="G34" i="34"/>
  <c r="G44" i="34" l="1"/>
  <c r="H40" i="34" s="1"/>
  <c r="E31" i="34"/>
  <c r="F10" i="34" s="1"/>
  <c r="F12" i="34" l="1"/>
  <c r="F11" i="34"/>
  <c r="H43" i="34"/>
  <c r="H42" i="34"/>
  <c r="H41" i="34"/>
  <c r="H44" i="34" l="1"/>
  <c r="O15" i="56"/>
  <c r="N15" i="56"/>
  <c r="D10" i="56" l="1"/>
  <c r="L25" i="56"/>
  <c r="H24" i="56"/>
  <c r="C10" i="56"/>
  <c r="F26" i="56" s="1"/>
  <c r="H13" i="56"/>
  <c r="L13" i="56"/>
  <c r="L20" i="56"/>
  <c r="H23" i="56"/>
  <c r="L24" i="56"/>
  <c r="H25" i="56"/>
  <c r="N16" i="56"/>
  <c r="O16" i="56"/>
  <c r="J13" i="56" l="1"/>
  <c r="J26" i="56"/>
  <c r="J12" i="56"/>
  <c r="J16" i="56"/>
  <c r="J25" i="56"/>
  <c r="J21" i="56"/>
  <c r="J17" i="56"/>
  <c r="J22" i="56"/>
  <c r="J18" i="56"/>
  <c r="O14" i="56"/>
  <c r="J24" i="56"/>
  <c r="J11" i="56"/>
  <c r="O23" i="56"/>
  <c r="O21" i="56"/>
  <c r="O24" i="56"/>
  <c r="F24" i="56"/>
  <c r="N14" i="56"/>
  <c r="N23" i="56"/>
  <c r="N21" i="56"/>
  <c r="F25" i="56"/>
  <c r="N24" i="56"/>
  <c r="F11" i="56"/>
  <c r="F12" i="56"/>
  <c r="N20" i="56"/>
  <c r="O20" i="56"/>
  <c r="H12" i="56"/>
  <c r="N19" i="56"/>
  <c r="G13" i="56"/>
  <c r="L12" i="56"/>
  <c r="O19" i="56"/>
  <c r="O17" i="56" l="1"/>
  <c r="J10" i="56"/>
  <c r="F10" i="56"/>
  <c r="O25" i="56"/>
  <c r="O18" i="56"/>
  <c r="N18" i="56"/>
  <c r="N17" i="56"/>
  <c r="N25" i="56"/>
  <c r="E12" i="55" l="1"/>
  <c r="E25" i="55"/>
  <c r="E24" i="55"/>
  <c r="E23" i="55"/>
  <c r="E22" i="55"/>
  <c r="E21" i="55"/>
  <c r="E20" i="55"/>
  <c r="E19" i="55"/>
  <c r="E18" i="55"/>
  <c r="E17" i="55"/>
  <c r="E16" i="55"/>
  <c r="E15" i="55"/>
  <c r="E14" i="55"/>
  <c r="E13" i="55"/>
  <c r="E11" i="55"/>
  <c r="E10" i="55"/>
  <c r="E9" i="55"/>
  <c r="E8" i="55"/>
  <c r="E7" i="55"/>
  <c r="E6" i="55"/>
  <c r="G24" i="55"/>
  <c r="G23" i="55"/>
  <c r="G22" i="55"/>
  <c r="G21" i="55"/>
  <c r="G20" i="55"/>
  <c r="G19" i="55"/>
  <c r="G18" i="55"/>
  <c r="G17" i="55"/>
  <c r="G16" i="55"/>
  <c r="G15" i="55"/>
  <c r="M18" i="55" l="1"/>
  <c r="L18" i="55"/>
  <c r="L19" i="55"/>
  <c r="M19" i="55"/>
  <c r="L20" i="55"/>
  <c r="M20" i="55"/>
  <c r="L22" i="55"/>
  <c r="M22" i="55"/>
  <c r="M17" i="55"/>
  <c r="L17" i="55"/>
  <c r="L21" i="55"/>
  <c r="M21" i="55"/>
  <c r="M23" i="55"/>
  <c r="L23" i="55"/>
  <c r="M11" i="55"/>
  <c r="L11" i="55"/>
  <c r="M25" i="55"/>
  <c r="L25" i="55"/>
  <c r="M15" i="55"/>
  <c r="L15" i="55"/>
  <c r="M6" i="55"/>
  <c r="M29" i="55"/>
  <c r="M28" i="55"/>
  <c r="M30" i="55"/>
  <c r="L29" i="55"/>
  <c r="L30" i="55"/>
  <c r="L28" i="55"/>
  <c r="M7" i="55"/>
  <c r="M8" i="55"/>
  <c r="L9" i="55"/>
  <c r="M9" i="55"/>
  <c r="L10" i="55"/>
  <c r="M10" i="55"/>
  <c r="M24" i="55"/>
  <c r="L24" i="55"/>
  <c r="M13" i="55"/>
  <c r="L13" i="55"/>
  <c r="L14" i="55"/>
  <c r="M14" i="55"/>
  <c r="M26" i="55"/>
  <c r="L26" i="55"/>
  <c r="M16" i="55"/>
  <c r="L16" i="55"/>
  <c r="L12" i="55"/>
  <c r="M12" i="55"/>
  <c r="R23" i="55" l="1"/>
  <c r="R11" i="55"/>
  <c r="Q20" i="55"/>
  <c r="Q8" i="55"/>
  <c r="Q19" i="55"/>
  <c r="Q7" i="55"/>
  <c r="R22" i="55"/>
  <c r="R21" i="55"/>
  <c r="R20" i="55"/>
  <c r="R8" i="55"/>
  <c r="R19" i="55"/>
  <c r="R7" i="55"/>
  <c r="Q16" i="55"/>
  <c r="R18" i="55"/>
  <c r="Q15" i="55"/>
  <c r="Q14" i="55"/>
  <c r="R16" i="55"/>
  <c r="Q13" i="55"/>
  <c r="Q12" i="55"/>
  <c r="Q23" i="55"/>
  <c r="Q18" i="55"/>
  <c r="R17" i="55"/>
  <c r="Q25" i="55"/>
  <c r="Q24" i="55"/>
  <c r="R14" i="55"/>
  <c r="Q11" i="55"/>
  <c r="Q6" i="55"/>
  <c r="Q17" i="55"/>
  <c r="R15" i="55"/>
  <c r="R25" i="55"/>
  <c r="R13" i="55"/>
  <c r="Q22" i="55"/>
  <c r="Q10" i="55"/>
  <c r="R24" i="55"/>
  <c r="R12" i="55"/>
  <c r="Q21" i="55"/>
  <c r="Q9" i="55"/>
  <c r="R10" i="55"/>
  <c r="R9" i="55"/>
  <c r="P16" i="55"/>
  <c r="P21" i="55"/>
  <c r="O16" i="55"/>
  <c r="O12" i="55"/>
  <c r="P6" i="55"/>
  <c r="P11" i="55"/>
  <c r="O21" i="55"/>
  <c r="P18" i="55"/>
  <c r="P12" i="55"/>
  <c r="O13" i="55"/>
  <c r="O22" i="55"/>
  <c r="P19" i="55"/>
  <c r="P13" i="55"/>
  <c r="O25" i="55"/>
  <c r="P25" i="55"/>
  <c r="O7" i="55"/>
  <c r="O20" i="55"/>
  <c r="O19" i="55"/>
  <c r="O9" i="55"/>
  <c r="P22" i="55"/>
  <c r="P9" i="55"/>
  <c r="O17" i="55"/>
  <c r="P23" i="55"/>
  <c r="P26" i="55"/>
  <c r="P20" i="55"/>
  <c r="P7" i="55"/>
  <c r="P24" i="55"/>
  <c r="O15" i="55"/>
  <c r="O10" i="55"/>
  <c r="O24" i="55"/>
  <c r="O11" i="55"/>
  <c r="P15" i="55"/>
  <c r="O18" i="55"/>
  <c r="P17" i="55"/>
  <c r="O23" i="55"/>
  <c r="P10" i="55"/>
  <c r="C30" i="12"/>
  <c r="C5" i="12"/>
  <c r="C18" i="12"/>
  <c r="E30" i="12"/>
  <c r="E18" i="12"/>
  <c r="E5" i="12"/>
  <c r="G10" i="32"/>
  <c r="H10" i="32"/>
  <c r="F11" i="12" l="1"/>
  <c r="F9" i="12"/>
  <c r="F8" i="12"/>
  <c r="F7" i="12"/>
  <c r="F10" i="12"/>
  <c r="F12" i="12"/>
  <c r="D12" i="12"/>
  <c r="D11" i="12"/>
  <c r="D10" i="12"/>
  <c r="D9" i="12"/>
  <c r="D8" i="12"/>
  <c r="D7" i="12"/>
  <c r="E9" i="31"/>
  <c r="F5" i="12" l="1"/>
  <c r="T14" i="43"/>
  <c r="AA13" i="43"/>
  <c r="O33" i="17" l="1"/>
  <c r="O32" i="17"/>
  <c r="M33" i="17"/>
  <c r="M32" i="17"/>
  <c r="M31" i="17"/>
  <c r="C7" i="46" l="1"/>
  <c r="J11" i="40" l="1"/>
  <c r="D7" i="32"/>
  <c r="C7" i="32"/>
  <c r="K11" i="40" l="1"/>
  <c r="H8" i="26"/>
  <c r="E8" i="26"/>
  <c r="E9" i="26"/>
  <c r="E10" i="26"/>
  <c r="H10" i="26"/>
  <c r="F11" i="37" l="1"/>
  <c r="G37" i="34" l="1"/>
  <c r="G36" i="34"/>
  <c r="G35" i="34"/>
  <c r="G38" i="34" l="1"/>
  <c r="H34" i="34" s="1"/>
  <c r="F7" i="39"/>
  <c r="G7" i="39"/>
  <c r="I7" i="39"/>
  <c r="J7" i="39"/>
  <c r="L9" i="26"/>
  <c r="L8" i="26"/>
  <c r="P33" i="17"/>
  <c r="P34" i="17"/>
  <c r="G7" i="41"/>
  <c r="D27" i="37"/>
  <c r="I24" i="37"/>
  <c r="K7" i="39" l="1"/>
  <c r="H36" i="34"/>
  <c r="H37" i="34"/>
  <c r="H35" i="34"/>
  <c r="H7" i="39"/>
  <c r="L28" i="3"/>
  <c r="L26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M26" i="3"/>
  <c r="L27" i="3"/>
  <c r="M27" i="3"/>
  <c r="M28" i="3"/>
  <c r="L29" i="3"/>
  <c r="M29" i="3"/>
  <c r="L30" i="3"/>
  <c r="M30" i="3"/>
  <c r="E34" i="27"/>
  <c r="F25" i="27"/>
  <c r="O13" i="6"/>
  <c r="E19" i="6"/>
  <c r="H38" i="34" l="1"/>
  <c r="I12" i="34"/>
  <c r="I30" i="34"/>
  <c r="I29" i="34"/>
  <c r="I28" i="34"/>
  <c r="I27" i="34"/>
  <c r="I26" i="34"/>
  <c r="I25" i="34"/>
  <c r="I24" i="34"/>
  <c r="I23" i="34"/>
  <c r="I22" i="34"/>
  <c r="I21" i="34"/>
  <c r="I20" i="34"/>
  <c r="I19" i="34"/>
  <c r="I18" i="34"/>
  <c r="I17" i="34"/>
  <c r="I16" i="34"/>
  <c r="I15" i="34"/>
  <c r="I14" i="34"/>
  <c r="I13" i="34"/>
  <c r="I11" i="34"/>
  <c r="J12" i="34" l="1"/>
  <c r="J16" i="34"/>
  <c r="J20" i="34"/>
  <c r="J24" i="34"/>
  <c r="J28" i="34"/>
  <c r="J13" i="34"/>
  <c r="J17" i="34"/>
  <c r="J21" i="34"/>
  <c r="J25" i="34"/>
  <c r="J29" i="34"/>
  <c r="J14" i="34"/>
  <c r="J18" i="34"/>
  <c r="J22" i="34"/>
  <c r="J26" i="34"/>
  <c r="J30" i="34"/>
  <c r="J11" i="34"/>
  <c r="J15" i="34"/>
  <c r="J19" i="34"/>
  <c r="J23" i="34"/>
  <c r="J27" i="34"/>
  <c r="E8" i="34"/>
  <c r="F29" i="34"/>
  <c r="F30" i="34"/>
  <c r="F26" i="34"/>
  <c r="F22" i="34"/>
  <c r="F18" i="34"/>
  <c r="F14" i="34"/>
  <c r="F31" i="34" l="1"/>
  <c r="F15" i="34"/>
  <c r="F19" i="34"/>
  <c r="F23" i="34"/>
  <c r="F27" i="34"/>
  <c r="K22" i="34" s="1"/>
  <c r="F16" i="34"/>
  <c r="K12" i="34" s="1"/>
  <c r="F20" i="34"/>
  <c r="K27" i="34" s="1"/>
  <c r="F24" i="34"/>
  <c r="K14" i="34" s="1"/>
  <c r="F28" i="34"/>
  <c r="K20" i="34" s="1"/>
  <c r="F13" i="34"/>
  <c r="K29" i="34" s="1"/>
  <c r="F17" i="34"/>
  <c r="F21" i="34"/>
  <c r="F25" i="34"/>
  <c r="I34" i="43"/>
  <c r="H34" i="43"/>
  <c r="I33" i="43"/>
  <c r="H33" i="43"/>
  <c r="I32" i="43"/>
  <c r="H32" i="43"/>
  <c r="I31" i="43"/>
  <c r="H31" i="43"/>
  <c r="I30" i="43"/>
  <c r="H30" i="43"/>
  <c r="I29" i="43"/>
  <c r="H29" i="43"/>
  <c r="I28" i="43"/>
  <c r="H28" i="43"/>
  <c r="I27" i="43"/>
  <c r="H27" i="43"/>
  <c r="I26" i="43"/>
  <c r="H26" i="43"/>
  <c r="I25" i="43"/>
  <c r="H25" i="43"/>
  <c r="I24" i="43"/>
  <c r="H24" i="43"/>
  <c r="I23" i="43"/>
  <c r="H23" i="43"/>
  <c r="I22" i="43"/>
  <c r="H22" i="43"/>
  <c r="I21" i="43"/>
  <c r="H21" i="43"/>
  <c r="I20" i="43"/>
  <c r="H20" i="43"/>
  <c r="I19" i="43"/>
  <c r="H19" i="43"/>
  <c r="I18" i="43"/>
  <c r="H18" i="43"/>
  <c r="I17" i="43"/>
  <c r="H17" i="43"/>
  <c r="I16" i="43"/>
  <c r="H16" i="43"/>
  <c r="I15" i="43"/>
  <c r="H15" i="43"/>
  <c r="I14" i="43"/>
  <c r="H14" i="43"/>
  <c r="I13" i="43"/>
  <c r="H13" i="43"/>
  <c r="I12" i="43"/>
  <c r="H12" i="43"/>
  <c r="I11" i="43"/>
  <c r="H11" i="43"/>
  <c r="I10" i="43"/>
  <c r="H10" i="43"/>
  <c r="G34" i="43"/>
  <c r="G33" i="43"/>
  <c r="G32" i="43"/>
  <c r="G31" i="43"/>
  <c r="G30" i="43"/>
  <c r="G29" i="43"/>
  <c r="G28" i="43"/>
  <c r="G27" i="43"/>
  <c r="G26" i="43"/>
  <c r="G25" i="43"/>
  <c r="G24" i="43"/>
  <c r="G23" i="43"/>
  <c r="G22" i="43"/>
  <c r="G21" i="43"/>
  <c r="G20" i="43"/>
  <c r="G19" i="43"/>
  <c r="G18" i="43"/>
  <c r="G16" i="43"/>
  <c r="G15" i="43"/>
  <c r="G14" i="43"/>
  <c r="G13" i="43"/>
  <c r="G12" i="43"/>
  <c r="G11" i="43"/>
  <c r="P12" i="17"/>
  <c r="M30" i="17"/>
  <c r="M29" i="17"/>
  <c r="M28" i="17"/>
  <c r="M27" i="17"/>
  <c r="M26" i="17"/>
  <c r="M25" i="17"/>
  <c r="M24" i="17"/>
  <c r="M23" i="17"/>
  <c r="M22" i="17"/>
  <c r="M21" i="17"/>
  <c r="M20" i="17"/>
  <c r="M19" i="17"/>
  <c r="M18" i="17"/>
  <c r="M17" i="17"/>
  <c r="M16" i="17"/>
  <c r="M15" i="17"/>
  <c r="M14" i="17"/>
  <c r="M13" i="17"/>
  <c r="K19" i="34" l="1"/>
  <c r="K21" i="34"/>
  <c r="K13" i="34"/>
  <c r="K26" i="34"/>
  <c r="K16" i="34"/>
  <c r="K23" i="34"/>
  <c r="K28" i="34"/>
  <c r="F8" i="34"/>
  <c r="K15" i="34"/>
  <c r="K30" i="34"/>
  <c r="K25" i="34"/>
  <c r="K18" i="34"/>
  <c r="K11" i="34"/>
  <c r="K24" i="34"/>
  <c r="K17" i="34"/>
  <c r="O16" i="54"/>
  <c r="G16" i="41"/>
  <c r="G15" i="41"/>
  <c r="G14" i="41"/>
  <c r="G11" i="41"/>
  <c r="G10" i="41"/>
  <c r="G9" i="41"/>
  <c r="G8" i="41"/>
  <c r="D19" i="41"/>
  <c r="D10" i="40"/>
  <c r="H9" i="37"/>
  <c r="D9" i="37"/>
  <c r="D10" i="37"/>
  <c r="D12" i="37"/>
  <c r="D13" i="37"/>
  <c r="D14" i="37"/>
  <c r="D15" i="37"/>
  <c r="D16" i="37"/>
  <c r="I11" i="26"/>
  <c r="J11" i="26" s="1"/>
  <c r="I10" i="26"/>
  <c r="J10" i="26" s="1"/>
  <c r="I9" i="26"/>
  <c r="J9" i="26" s="1"/>
  <c r="H11" i="26"/>
  <c r="H9" i="26"/>
  <c r="E11" i="26"/>
  <c r="G20" i="41" l="1"/>
  <c r="O10" i="6" l="1"/>
  <c r="C19" i="6"/>
  <c r="E35" i="28" l="1"/>
  <c r="C7" i="2"/>
  <c r="G8" i="31"/>
  <c r="G7" i="31"/>
  <c r="C9" i="31"/>
  <c r="H11" i="41" l="1"/>
  <c r="H7" i="41"/>
  <c r="D20" i="41"/>
  <c r="E20" i="41"/>
  <c r="F20" i="41"/>
  <c r="K16" i="39"/>
  <c r="F37" i="32"/>
  <c r="D37" i="32"/>
  <c r="C37" i="32"/>
  <c r="E37" i="32"/>
  <c r="H9" i="32"/>
  <c r="H8" i="32"/>
  <c r="G9" i="32"/>
  <c r="G8" i="32"/>
  <c r="D8" i="27" l="1"/>
  <c r="F47" i="44" l="1"/>
  <c r="K12" i="37" l="1"/>
  <c r="P11" i="37" l="1"/>
  <c r="F55" i="42" l="1"/>
  <c r="G58" i="42" s="1"/>
  <c r="F48" i="42"/>
  <c r="G51" i="42" s="1"/>
  <c r="F44" i="42"/>
  <c r="G47" i="42" s="1"/>
  <c r="F38" i="42"/>
  <c r="G41" i="42" s="1"/>
  <c r="F34" i="42"/>
  <c r="G37" i="42" s="1"/>
  <c r="F29" i="42"/>
  <c r="G31" i="42" s="1"/>
  <c r="F24" i="42"/>
  <c r="G28" i="42" s="1"/>
  <c r="F18" i="42"/>
  <c r="G21" i="42" s="1"/>
  <c r="F11" i="42"/>
  <c r="G14" i="42" s="1"/>
  <c r="F6" i="42"/>
  <c r="F54" i="44"/>
  <c r="G53" i="44"/>
  <c r="F43" i="44"/>
  <c r="G46" i="44" s="1"/>
  <c r="F37" i="44"/>
  <c r="G39" i="44" s="1"/>
  <c r="F33" i="44"/>
  <c r="G36" i="44" s="1"/>
  <c r="F28" i="44"/>
  <c r="G32" i="44" s="1"/>
  <c r="F23" i="44"/>
  <c r="G26" i="44" s="1"/>
  <c r="F17" i="44"/>
  <c r="G19" i="44" s="1"/>
  <c r="F10" i="44"/>
  <c r="F5" i="44"/>
  <c r="G8" i="44" s="1"/>
  <c r="F65" i="42" l="1"/>
  <c r="G43" i="42"/>
  <c r="G30" i="42"/>
  <c r="G33" i="42"/>
  <c r="G20" i="42"/>
  <c r="G23" i="42"/>
  <c r="G16" i="42"/>
  <c r="G7" i="42"/>
  <c r="G9" i="44"/>
  <c r="F59" i="44"/>
  <c r="F60" i="44" s="1"/>
  <c r="G58" i="44" s="1"/>
  <c r="G29" i="44"/>
  <c r="G30" i="44"/>
  <c r="G27" i="44"/>
  <c r="G6" i="44"/>
  <c r="G7" i="44"/>
  <c r="G56" i="42"/>
  <c r="G57" i="42"/>
  <c r="G54" i="42"/>
  <c r="G49" i="42"/>
  <c r="G50" i="42"/>
  <c r="G53" i="42"/>
  <c r="G39" i="42"/>
  <c r="G40" i="42"/>
  <c r="G19" i="42"/>
  <c r="G17" i="42"/>
  <c r="G12" i="42"/>
  <c r="G13" i="42"/>
  <c r="G8" i="42"/>
  <c r="G15" i="42"/>
  <c r="G22" i="42"/>
  <c r="G25" i="42"/>
  <c r="G32" i="42"/>
  <c r="G35" i="42"/>
  <c r="G42" i="42"/>
  <c r="G45" i="42"/>
  <c r="G52" i="42"/>
  <c r="G26" i="42"/>
  <c r="G36" i="42"/>
  <c r="G46" i="42"/>
  <c r="F60" i="42"/>
  <c r="G10" i="42"/>
  <c r="G27" i="42"/>
  <c r="G9" i="42"/>
  <c r="G13" i="44"/>
  <c r="G20" i="44"/>
  <c r="G50" i="44"/>
  <c r="G14" i="44"/>
  <c r="G21" i="44"/>
  <c r="G24" i="44"/>
  <c r="G31" i="44"/>
  <c r="G34" i="44"/>
  <c r="G41" i="44"/>
  <c r="G44" i="44"/>
  <c r="G51" i="44"/>
  <c r="G11" i="44"/>
  <c r="G15" i="44"/>
  <c r="G18" i="44"/>
  <c r="G22" i="44"/>
  <c r="G25" i="44"/>
  <c r="G35" i="44"/>
  <c r="G38" i="44"/>
  <c r="G42" i="44"/>
  <c r="G45" i="44"/>
  <c r="G48" i="44"/>
  <c r="G52" i="44"/>
  <c r="G40" i="44"/>
  <c r="G12" i="44"/>
  <c r="G16" i="44"/>
  <c r="G49" i="44"/>
  <c r="S33" i="54"/>
  <c r="R33" i="54"/>
  <c r="S32" i="54"/>
  <c r="R32" i="54"/>
  <c r="S31" i="54"/>
  <c r="R31" i="54"/>
  <c r="S30" i="54"/>
  <c r="R30" i="54"/>
  <c r="S29" i="54"/>
  <c r="R29" i="54"/>
  <c r="S28" i="54"/>
  <c r="R28" i="54"/>
  <c r="S27" i="54"/>
  <c r="R27" i="54"/>
  <c r="S26" i="54"/>
  <c r="R26" i="54"/>
  <c r="S25" i="54"/>
  <c r="R25" i="54"/>
  <c r="S24" i="54"/>
  <c r="R24" i="54"/>
  <c r="S23" i="54"/>
  <c r="R23" i="54"/>
  <c r="S22" i="54"/>
  <c r="R22" i="54"/>
  <c r="S21" i="54"/>
  <c r="R21" i="54"/>
  <c r="S20" i="54"/>
  <c r="R20" i="54"/>
  <c r="S19" i="54"/>
  <c r="R19" i="54"/>
  <c r="S18" i="54"/>
  <c r="R18" i="54"/>
  <c r="S17" i="54"/>
  <c r="R17" i="54"/>
  <c r="S16" i="54"/>
  <c r="R16" i="54"/>
  <c r="S15" i="54"/>
  <c r="R15" i="54"/>
  <c r="S14" i="54"/>
  <c r="R14" i="54"/>
  <c r="S13" i="54"/>
  <c r="R13" i="54"/>
  <c r="S12" i="54"/>
  <c r="R12" i="54"/>
  <c r="S11" i="54"/>
  <c r="R11" i="54"/>
  <c r="S10" i="54"/>
  <c r="R10" i="54"/>
  <c r="I46" i="54" s="1"/>
  <c r="J46" i="54" s="1"/>
  <c r="S9" i="54"/>
  <c r="R9" i="54"/>
  <c r="I45" i="54" s="1"/>
  <c r="J45" i="54" s="1"/>
  <c r="P33" i="54"/>
  <c r="O33" i="54"/>
  <c r="P32" i="54"/>
  <c r="O32" i="54"/>
  <c r="P31" i="54"/>
  <c r="O31" i="54"/>
  <c r="P30" i="54"/>
  <c r="O30" i="54"/>
  <c r="P29" i="54"/>
  <c r="O29" i="54"/>
  <c r="P28" i="54"/>
  <c r="O28" i="54"/>
  <c r="P27" i="54"/>
  <c r="O27" i="54"/>
  <c r="P26" i="54"/>
  <c r="O26" i="54"/>
  <c r="P25" i="54"/>
  <c r="O25" i="54"/>
  <c r="P24" i="54"/>
  <c r="O24" i="54"/>
  <c r="P23" i="54"/>
  <c r="O23" i="54"/>
  <c r="P22" i="54"/>
  <c r="O22" i="54"/>
  <c r="P21" i="54"/>
  <c r="O21" i="54"/>
  <c r="P20" i="54"/>
  <c r="O20" i="54"/>
  <c r="P19" i="54"/>
  <c r="O19" i="54"/>
  <c r="P18" i="54"/>
  <c r="O18" i="54"/>
  <c r="P17" i="54"/>
  <c r="O17" i="54"/>
  <c r="P16" i="54"/>
  <c r="P15" i="54"/>
  <c r="O15" i="54"/>
  <c r="P14" i="54"/>
  <c r="O14" i="54"/>
  <c r="P13" i="54"/>
  <c r="O13" i="54"/>
  <c r="P12" i="54"/>
  <c r="O12" i="54"/>
  <c r="P11" i="54"/>
  <c r="O11" i="54"/>
  <c r="P10" i="54"/>
  <c r="O10" i="54"/>
  <c r="P9" i="54"/>
  <c r="E45" i="54" l="1"/>
  <c r="F45" i="54" s="1"/>
  <c r="C45" i="54"/>
  <c r="D45" i="54" s="1"/>
  <c r="G47" i="44"/>
  <c r="G10" i="44"/>
  <c r="G23" i="44"/>
  <c r="G33" i="44"/>
  <c r="G37" i="44"/>
  <c r="G28" i="44"/>
  <c r="G43" i="44"/>
  <c r="G54" i="44"/>
  <c r="G5" i="44"/>
  <c r="G17" i="44"/>
  <c r="F61" i="42"/>
  <c r="G59" i="42" s="1"/>
  <c r="G44" i="42"/>
  <c r="G34" i="42"/>
  <c r="G24" i="42"/>
  <c r="G29" i="42"/>
  <c r="G55" i="42"/>
  <c r="G48" i="42"/>
  <c r="G38" i="42"/>
  <c r="G18" i="42"/>
  <c r="G6" i="42"/>
  <c r="G11" i="42"/>
  <c r="P32" i="17"/>
  <c r="F10" i="40"/>
  <c r="V20" i="40" s="1"/>
  <c r="H24" i="37" l="1"/>
  <c r="K21" i="37"/>
  <c r="G59" i="44"/>
  <c r="G60" i="42"/>
  <c r="F9" i="28" l="1"/>
  <c r="G9" i="28" s="1"/>
  <c r="K15" i="2" l="1"/>
  <c r="K14" i="2"/>
  <c r="D7" i="46" l="1"/>
  <c r="E7" i="46"/>
  <c r="O18" i="17" l="1"/>
  <c r="F27" i="27" l="1"/>
  <c r="I27" i="37" l="1"/>
  <c r="H12" i="37"/>
  <c r="I69" i="54"/>
  <c r="J69" i="54" s="1"/>
  <c r="I68" i="54"/>
  <c r="J68" i="54" s="1"/>
  <c r="I67" i="54"/>
  <c r="J67" i="54" s="1"/>
  <c r="I66" i="54"/>
  <c r="J66" i="54" s="1"/>
  <c r="I65" i="54"/>
  <c r="J65" i="54" s="1"/>
  <c r="I64" i="54"/>
  <c r="J64" i="54" s="1"/>
  <c r="I63" i="54"/>
  <c r="J63" i="54" s="1"/>
  <c r="I62" i="54"/>
  <c r="J62" i="54" s="1"/>
  <c r="I61" i="54"/>
  <c r="J61" i="54" s="1"/>
  <c r="I60" i="54"/>
  <c r="J60" i="54" s="1"/>
  <c r="I59" i="54"/>
  <c r="J59" i="54" s="1"/>
  <c r="I58" i="54"/>
  <c r="J58" i="54" s="1"/>
  <c r="I57" i="54"/>
  <c r="J57" i="54" s="1"/>
  <c r="I56" i="54"/>
  <c r="J56" i="54" s="1"/>
  <c r="I55" i="54"/>
  <c r="J55" i="54" s="1"/>
  <c r="I54" i="54"/>
  <c r="J54" i="54" s="1"/>
  <c r="I53" i="54"/>
  <c r="J53" i="54" s="1"/>
  <c r="I52" i="54"/>
  <c r="J52" i="54" s="1"/>
  <c r="I51" i="54"/>
  <c r="J51" i="54" s="1"/>
  <c r="I50" i="54"/>
  <c r="J50" i="54" s="1"/>
  <c r="I49" i="54"/>
  <c r="J49" i="54" s="1"/>
  <c r="I48" i="54"/>
  <c r="J48" i="54" s="1"/>
  <c r="I47" i="54"/>
  <c r="J47" i="54" s="1"/>
  <c r="G69" i="54"/>
  <c r="H69" i="54" s="1"/>
  <c r="G68" i="54"/>
  <c r="H68" i="54" s="1"/>
  <c r="G67" i="54"/>
  <c r="H67" i="54" s="1"/>
  <c r="G66" i="54"/>
  <c r="H66" i="54" s="1"/>
  <c r="G65" i="54"/>
  <c r="H65" i="54" s="1"/>
  <c r="G64" i="54"/>
  <c r="H64" i="54" s="1"/>
  <c r="G63" i="54"/>
  <c r="H63" i="54" s="1"/>
  <c r="G62" i="54"/>
  <c r="H62" i="54" s="1"/>
  <c r="G61" i="54"/>
  <c r="H61" i="54" s="1"/>
  <c r="G60" i="54"/>
  <c r="H60" i="54" s="1"/>
  <c r="G59" i="54"/>
  <c r="H59" i="54" s="1"/>
  <c r="G58" i="54"/>
  <c r="H58" i="54" s="1"/>
  <c r="G57" i="54"/>
  <c r="H57" i="54" s="1"/>
  <c r="G56" i="54"/>
  <c r="H56" i="54" s="1"/>
  <c r="G55" i="54"/>
  <c r="H55" i="54" s="1"/>
  <c r="G54" i="54"/>
  <c r="H54" i="54" s="1"/>
  <c r="G53" i="54"/>
  <c r="H53" i="54" s="1"/>
  <c r="G52" i="54"/>
  <c r="H52" i="54" s="1"/>
  <c r="G51" i="54"/>
  <c r="H51" i="54" s="1"/>
  <c r="G50" i="54"/>
  <c r="H50" i="54" s="1"/>
  <c r="G49" i="54"/>
  <c r="H49" i="54" s="1"/>
  <c r="G48" i="54"/>
  <c r="H48" i="54" s="1"/>
  <c r="G47" i="54"/>
  <c r="H47" i="54" s="1"/>
  <c r="G46" i="54"/>
  <c r="H46" i="54" s="1"/>
  <c r="G45" i="54"/>
  <c r="H45" i="54" s="1"/>
  <c r="E69" i="54"/>
  <c r="F69" i="54" s="1"/>
  <c r="E68" i="54"/>
  <c r="F68" i="54" s="1"/>
  <c r="E67" i="54"/>
  <c r="F67" i="54" s="1"/>
  <c r="E66" i="54"/>
  <c r="F66" i="54" s="1"/>
  <c r="E65" i="54"/>
  <c r="F65" i="54" s="1"/>
  <c r="E64" i="54"/>
  <c r="F64" i="54" s="1"/>
  <c r="E63" i="54"/>
  <c r="F63" i="54" s="1"/>
  <c r="E62" i="54"/>
  <c r="F62" i="54" s="1"/>
  <c r="E61" i="54"/>
  <c r="F61" i="54" s="1"/>
  <c r="E60" i="54"/>
  <c r="F60" i="54" s="1"/>
  <c r="E59" i="54"/>
  <c r="F59" i="54" s="1"/>
  <c r="E58" i="54"/>
  <c r="F58" i="54" s="1"/>
  <c r="E57" i="54"/>
  <c r="F57" i="54" s="1"/>
  <c r="E56" i="54"/>
  <c r="F56" i="54" s="1"/>
  <c r="E55" i="54"/>
  <c r="F55" i="54" s="1"/>
  <c r="E54" i="54"/>
  <c r="F54" i="54" s="1"/>
  <c r="E53" i="54"/>
  <c r="F53" i="54" s="1"/>
  <c r="E52" i="54"/>
  <c r="F52" i="54" s="1"/>
  <c r="E51" i="54"/>
  <c r="F51" i="54" s="1"/>
  <c r="E50" i="54"/>
  <c r="F50" i="54" s="1"/>
  <c r="E49" i="54"/>
  <c r="F49" i="54" s="1"/>
  <c r="E48" i="54"/>
  <c r="F48" i="54" s="1"/>
  <c r="E47" i="54"/>
  <c r="F47" i="54" s="1"/>
  <c r="E46" i="54"/>
  <c r="F46" i="54" s="1"/>
  <c r="C69" i="54"/>
  <c r="D69" i="54" s="1"/>
  <c r="C68" i="54"/>
  <c r="D68" i="54" s="1"/>
  <c r="C67" i="54"/>
  <c r="D67" i="54" s="1"/>
  <c r="C66" i="54"/>
  <c r="D66" i="54" s="1"/>
  <c r="C65" i="54"/>
  <c r="D65" i="54" s="1"/>
  <c r="C64" i="54"/>
  <c r="D64" i="54" s="1"/>
  <c r="C63" i="54"/>
  <c r="D63" i="54" s="1"/>
  <c r="C62" i="54"/>
  <c r="D62" i="54" s="1"/>
  <c r="C61" i="54"/>
  <c r="D61" i="54" s="1"/>
  <c r="C60" i="54"/>
  <c r="D60" i="54" s="1"/>
  <c r="C59" i="54"/>
  <c r="D59" i="54" s="1"/>
  <c r="C58" i="54"/>
  <c r="D58" i="54" s="1"/>
  <c r="C57" i="54"/>
  <c r="D57" i="54" s="1"/>
  <c r="C56" i="54"/>
  <c r="D56" i="54" s="1"/>
  <c r="C55" i="54"/>
  <c r="D55" i="54" s="1"/>
  <c r="C54" i="54"/>
  <c r="D54" i="54" s="1"/>
  <c r="C53" i="54"/>
  <c r="D53" i="54" s="1"/>
  <c r="C52" i="54"/>
  <c r="D52" i="54" s="1"/>
  <c r="C51" i="54"/>
  <c r="D51" i="54" s="1"/>
  <c r="C50" i="54"/>
  <c r="D50" i="54" s="1"/>
  <c r="C49" i="54"/>
  <c r="D49" i="54" s="1"/>
  <c r="C48" i="54"/>
  <c r="D48" i="54" s="1"/>
  <c r="C47" i="54"/>
  <c r="D47" i="54" s="1"/>
  <c r="C46" i="54"/>
  <c r="D46" i="54" s="1"/>
  <c r="T33" i="54"/>
  <c r="Q33" i="54"/>
  <c r="T32" i="54"/>
  <c r="Q32" i="54"/>
  <c r="T31" i="54"/>
  <c r="Q31" i="54"/>
  <c r="T30" i="54"/>
  <c r="Q30" i="54"/>
  <c r="T29" i="54"/>
  <c r="Q29" i="54"/>
  <c r="T28" i="54"/>
  <c r="Q28" i="54"/>
  <c r="T27" i="54"/>
  <c r="Q27" i="54"/>
  <c r="T26" i="54"/>
  <c r="Q26" i="54"/>
  <c r="T25" i="54"/>
  <c r="Q25" i="54"/>
  <c r="T24" i="54"/>
  <c r="Q24" i="54"/>
  <c r="T23" i="54"/>
  <c r="Q23" i="54"/>
  <c r="T22" i="54"/>
  <c r="Q22" i="54"/>
  <c r="T21" i="54"/>
  <c r="Q21" i="54"/>
  <c r="T20" i="54"/>
  <c r="Q20" i="54"/>
  <c r="T19" i="54"/>
  <c r="Q19" i="54"/>
  <c r="T18" i="54"/>
  <c r="Q18" i="54"/>
  <c r="T17" i="54"/>
  <c r="Q17" i="54"/>
  <c r="T16" i="54"/>
  <c r="Q16" i="54"/>
  <c r="T15" i="54"/>
  <c r="Q15" i="54"/>
  <c r="T14" i="54"/>
  <c r="Q14" i="54"/>
  <c r="T13" i="54"/>
  <c r="Q13" i="54"/>
  <c r="T12" i="54"/>
  <c r="Q12" i="54"/>
  <c r="T11" i="54"/>
  <c r="Q11" i="54"/>
  <c r="T10" i="54"/>
  <c r="Q10" i="54"/>
  <c r="T9" i="54"/>
  <c r="Q9" i="54"/>
  <c r="S8" i="54"/>
  <c r="R8" i="54"/>
  <c r="P8" i="54"/>
  <c r="O8" i="54"/>
  <c r="N33" i="54"/>
  <c r="K33" i="54"/>
  <c r="N32" i="54"/>
  <c r="K32" i="54"/>
  <c r="N31" i="54"/>
  <c r="K31" i="54"/>
  <c r="N30" i="54"/>
  <c r="K30" i="54"/>
  <c r="N29" i="54"/>
  <c r="K29" i="54"/>
  <c r="N28" i="54"/>
  <c r="K28" i="54"/>
  <c r="N27" i="54"/>
  <c r="K27" i="54"/>
  <c r="N26" i="54"/>
  <c r="K26" i="54"/>
  <c r="N25" i="54"/>
  <c r="K25" i="54"/>
  <c r="N24" i="54"/>
  <c r="K24" i="54"/>
  <c r="N23" i="54"/>
  <c r="K23" i="54"/>
  <c r="N22" i="54"/>
  <c r="K22" i="54"/>
  <c r="N21" i="54"/>
  <c r="K21" i="54"/>
  <c r="N20" i="54"/>
  <c r="K20" i="54"/>
  <c r="N19" i="54"/>
  <c r="K19" i="54"/>
  <c r="N18" i="54"/>
  <c r="K18" i="54"/>
  <c r="N17" i="54"/>
  <c r="K17" i="54"/>
  <c r="N16" i="54"/>
  <c r="K16" i="54"/>
  <c r="N15" i="54"/>
  <c r="K15" i="54"/>
  <c r="N14" i="54"/>
  <c r="K14" i="54"/>
  <c r="N13" i="54"/>
  <c r="K13" i="54"/>
  <c r="N12" i="54"/>
  <c r="K12" i="54"/>
  <c r="N11" i="54"/>
  <c r="K11" i="54"/>
  <c r="N10" i="54"/>
  <c r="K10" i="54"/>
  <c r="N9" i="54"/>
  <c r="K9" i="54"/>
  <c r="M8" i="54"/>
  <c r="L8" i="54"/>
  <c r="J8" i="54"/>
  <c r="I8" i="54"/>
  <c r="H33" i="54"/>
  <c r="E33" i="54"/>
  <c r="H32" i="54"/>
  <c r="E32" i="54"/>
  <c r="H31" i="54"/>
  <c r="E31" i="54"/>
  <c r="H30" i="54"/>
  <c r="E30" i="54"/>
  <c r="H29" i="54"/>
  <c r="E29" i="54"/>
  <c r="H28" i="54"/>
  <c r="E28" i="54"/>
  <c r="H27" i="54"/>
  <c r="E27" i="54"/>
  <c r="H26" i="54"/>
  <c r="E26" i="54"/>
  <c r="H25" i="54"/>
  <c r="E25" i="54"/>
  <c r="H24" i="54"/>
  <c r="E24" i="54"/>
  <c r="H23" i="54"/>
  <c r="E23" i="54"/>
  <c r="H22" i="54"/>
  <c r="E22" i="54"/>
  <c r="H21" i="54"/>
  <c r="E21" i="54"/>
  <c r="H20" i="54"/>
  <c r="E20" i="54"/>
  <c r="H19" i="54"/>
  <c r="E19" i="54"/>
  <c r="H18" i="54"/>
  <c r="E18" i="54"/>
  <c r="H17" i="54"/>
  <c r="E17" i="54"/>
  <c r="H16" i="54"/>
  <c r="E16" i="54"/>
  <c r="H15" i="54"/>
  <c r="E15" i="54"/>
  <c r="H14" i="54"/>
  <c r="E14" i="54"/>
  <c r="H13" i="54"/>
  <c r="E13" i="54"/>
  <c r="H12" i="54"/>
  <c r="E12" i="54"/>
  <c r="H11" i="54"/>
  <c r="E11" i="54"/>
  <c r="H10" i="54"/>
  <c r="E10" i="54"/>
  <c r="H9" i="54"/>
  <c r="E9" i="54"/>
  <c r="G8" i="54"/>
  <c r="F8" i="54"/>
  <c r="D8" i="54"/>
  <c r="C8" i="54"/>
  <c r="K9" i="37"/>
  <c r="L9" i="37" s="1"/>
  <c r="E44" i="39"/>
  <c r="F44" i="39" s="1"/>
  <c r="E68" i="39"/>
  <c r="F68" i="39" s="1"/>
  <c r="E67" i="39"/>
  <c r="F67" i="39" s="1"/>
  <c r="E66" i="39"/>
  <c r="F66" i="39" s="1"/>
  <c r="E65" i="39"/>
  <c r="F65" i="39" s="1"/>
  <c r="E64" i="39"/>
  <c r="F64" i="39" s="1"/>
  <c r="E63" i="39"/>
  <c r="F63" i="39" s="1"/>
  <c r="E62" i="39"/>
  <c r="F62" i="39" s="1"/>
  <c r="E61" i="39"/>
  <c r="F61" i="39" s="1"/>
  <c r="E60" i="39"/>
  <c r="F60" i="39" s="1"/>
  <c r="E59" i="39"/>
  <c r="F59" i="39" s="1"/>
  <c r="E58" i="39"/>
  <c r="F58" i="39" s="1"/>
  <c r="E57" i="39"/>
  <c r="F57" i="39" s="1"/>
  <c r="E56" i="39"/>
  <c r="F56" i="39" s="1"/>
  <c r="E55" i="39"/>
  <c r="F55" i="39" s="1"/>
  <c r="E54" i="39"/>
  <c r="F54" i="39" s="1"/>
  <c r="E53" i="39"/>
  <c r="F53" i="39" s="1"/>
  <c r="E52" i="39"/>
  <c r="F52" i="39" s="1"/>
  <c r="E51" i="39"/>
  <c r="F51" i="39" s="1"/>
  <c r="E50" i="39"/>
  <c r="F50" i="39" s="1"/>
  <c r="E49" i="39"/>
  <c r="F49" i="39" s="1"/>
  <c r="E48" i="39"/>
  <c r="F48" i="39" s="1"/>
  <c r="E47" i="39"/>
  <c r="F47" i="39" s="1"/>
  <c r="E46" i="39"/>
  <c r="F46" i="39" s="1"/>
  <c r="E45" i="39"/>
  <c r="F45" i="39" s="1"/>
  <c r="E32" i="39"/>
  <c r="E31" i="39"/>
  <c r="E30" i="39"/>
  <c r="E29" i="39"/>
  <c r="E28" i="39"/>
  <c r="E27" i="39"/>
  <c r="E26" i="39"/>
  <c r="E25" i="39"/>
  <c r="E24" i="39"/>
  <c r="E23" i="39"/>
  <c r="E22" i="39"/>
  <c r="E21" i="39"/>
  <c r="E20" i="39"/>
  <c r="E19" i="39"/>
  <c r="E18" i="39"/>
  <c r="E17" i="39"/>
  <c r="E16" i="39"/>
  <c r="E15" i="39"/>
  <c r="E14" i="39"/>
  <c r="E13" i="39"/>
  <c r="E12" i="39"/>
  <c r="E11" i="39"/>
  <c r="E10" i="39"/>
  <c r="E9" i="39"/>
  <c r="E8" i="39"/>
  <c r="C7" i="39"/>
  <c r="I44" i="54" l="1"/>
  <c r="J44" i="54" s="1"/>
  <c r="G44" i="54"/>
  <c r="H44" i="54" s="1"/>
  <c r="E44" i="54"/>
  <c r="F44" i="54" s="1"/>
  <c r="C44" i="54"/>
  <c r="D44" i="54" s="1"/>
  <c r="Q8" i="54"/>
  <c r="K8" i="54"/>
  <c r="T8" i="54"/>
  <c r="N8" i="54"/>
  <c r="H8" i="54"/>
  <c r="E8" i="54"/>
  <c r="G17" i="32" l="1"/>
  <c r="G16" i="32"/>
  <c r="N14" i="29"/>
  <c r="O34" i="29"/>
  <c r="O33" i="29"/>
  <c r="O32" i="29"/>
  <c r="O31" i="29"/>
  <c r="O30" i="29"/>
  <c r="O29" i="29"/>
  <c r="O28" i="29"/>
  <c r="O27" i="29"/>
  <c r="O26" i="29"/>
  <c r="O25" i="29"/>
  <c r="O24" i="29"/>
  <c r="O23" i="29"/>
  <c r="O22" i="29"/>
  <c r="O21" i="29"/>
  <c r="O20" i="29"/>
  <c r="O19" i="29"/>
  <c r="O18" i="29"/>
  <c r="O17" i="29"/>
  <c r="O16" i="29"/>
  <c r="O15" i="29"/>
  <c r="O14" i="29"/>
  <c r="O13" i="29"/>
  <c r="O12" i="29"/>
  <c r="O11" i="29"/>
  <c r="O10" i="29"/>
  <c r="N34" i="29"/>
  <c r="N33" i="29"/>
  <c r="N32" i="29"/>
  <c r="N31" i="29"/>
  <c r="N30" i="29"/>
  <c r="N29" i="29"/>
  <c r="N28" i="29"/>
  <c r="N27" i="29"/>
  <c r="N26" i="29"/>
  <c r="N25" i="29"/>
  <c r="N24" i="29"/>
  <c r="N23" i="29"/>
  <c r="N22" i="29"/>
  <c r="N21" i="29"/>
  <c r="N20" i="29"/>
  <c r="N19" i="29"/>
  <c r="N18" i="29"/>
  <c r="N17" i="29"/>
  <c r="N16" i="29"/>
  <c r="N15" i="29"/>
  <c r="N13" i="29"/>
  <c r="N12" i="29"/>
  <c r="N11" i="29"/>
  <c r="N10" i="29"/>
  <c r="N9" i="6" l="1"/>
  <c r="N10" i="6"/>
  <c r="J10" i="6"/>
  <c r="H9" i="18" l="1"/>
  <c r="G9" i="18"/>
  <c r="F9" i="18"/>
  <c r="E9" i="18"/>
  <c r="D9" i="18"/>
  <c r="C9" i="18"/>
  <c r="D54" i="44"/>
  <c r="D47" i="44"/>
  <c r="E51" i="44" s="1"/>
  <c r="D43" i="44"/>
  <c r="E46" i="44" s="1"/>
  <c r="D37" i="44"/>
  <c r="E42" i="44" s="1"/>
  <c r="D33" i="44"/>
  <c r="E34" i="44" s="1"/>
  <c r="D28" i="44"/>
  <c r="E30" i="44" s="1"/>
  <c r="D23" i="44"/>
  <c r="E26" i="44" s="1"/>
  <c r="D17" i="44"/>
  <c r="E22" i="44" s="1"/>
  <c r="D10" i="44"/>
  <c r="E14" i="44" s="1"/>
  <c r="D5" i="44"/>
  <c r="AA34" i="43"/>
  <c r="F34" i="43" s="1"/>
  <c r="T34" i="43"/>
  <c r="M34" i="43"/>
  <c r="Q34" i="43" s="1"/>
  <c r="L34" i="43"/>
  <c r="P34" i="43" s="1"/>
  <c r="K34" i="43"/>
  <c r="O34" i="43" s="1"/>
  <c r="AA33" i="43"/>
  <c r="F33" i="43" s="1"/>
  <c r="T33" i="43"/>
  <c r="M33" i="43"/>
  <c r="Q33" i="43" s="1"/>
  <c r="L33" i="43"/>
  <c r="P33" i="43" s="1"/>
  <c r="AA32" i="43"/>
  <c r="F32" i="43" s="1"/>
  <c r="T32" i="43"/>
  <c r="M32" i="43"/>
  <c r="Q32" i="43" s="1"/>
  <c r="L32" i="43"/>
  <c r="P32" i="43" s="1"/>
  <c r="K32" i="43"/>
  <c r="O32" i="43" s="1"/>
  <c r="AA31" i="43"/>
  <c r="F31" i="43" s="1"/>
  <c r="T31" i="43"/>
  <c r="J31" i="43" s="1"/>
  <c r="M31" i="43"/>
  <c r="Q31" i="43" s="1"/>
  <c r="L31" i="43"/>
  <c r="P31" i="43" s="1"/>
  <c r="K31" i="43"/>
  <c r="O31" i="43" s="1"/>
  <c r="AA30" i="43"/>
  <c r="F30" i="43" s="1"/>
  <c r="T30" i="43"/>
  <c r="M30" i="43"/>
  <c r="Q30" i="43" s="1"/>
  <c r="L30" i="43"/>
  <c r="P30" i="43" s="1"/>
  <c r="K30" i="43"/>
  <c r="O30" i="43" s="1"/>
  <c r="AA29" i="43"/>
  <c r="F29" i="43" s="1"/>
  <c r="T29" i="43"/>
  <c r="M29" i="43"/>
  <c r="Q29" i="43" s="1"/>
  <c r="L29" i="43"/>
  <c r="P29" i="43" s="1"/>
  <c r="AA28" i="43"/>
  <c r="F28" i="43" s="1"/>
  <c r="T28" i="43"/>
  <c r="M28" i="43"/>
  <c r="Q28" i="43" s="1"/>
  <c r="L28" i="43"/>
  <c r="P28" i="43" s="1"/>
  <c r="K28" i="43"/>
  <c r="O28" i="43" s="1"/>
  <c r="AA27" i="43"/>
  <c r="F27" i="43" s="1"/>
  <c r="T27" i="43"/>
  <c r="M27" i="43"/>
  <c r="Q27" i="43" s="1"/>
  <c r="L27" i="43"/>
  <c r="P27" i="43" s="1"/>
  <c r="K27" i="43"/>
  <c r="O27" i="43" s="1"/>
  <c r="AA26" i="43"/>
  <c r="F26" i="43" s="1"/>
  <c r="T26" i="43"/>
  <c r="M26" i="43"/>
  <c r="Q26" i="43" s="1"/>
  <c r="L26" i="43"/>
  <c r="P26" i="43" s="1"/>
  <c r="K26" i="43"/>
  <c r="O26" i="43" s="1"/>
  <c r="AA25" i="43"/>
  <c r="F25" i="43" s="1"/>
  <c r="T25" i="43"/>
  <c r="M25" i="43"/>
  <c r="Q25" i="43" s="1"/>
  <c r="L25" i="43"/>
  <c r="P25" i="43" s="1"/>
  <c r="AA24" i="43"/>
  <c r="F24" i="43" s="1"/>
  <c r="T24" i="43"/>
  <c r="M24" i="43"/>
  <c r="Q24" i="43" s="1"/>
  <c r="L24" i="43"/>
  <c r="P24" i="43" s="1"/>
  <c r="K24" i="43"/>
  <c r="O24" i="43" s="1"/>
  <c r="AA23" i="43"/>
  <c r="F23" i="43" s="1"/>
  <c r="T23" i="43"/>
  <c r="M23" i="43"/>
  <c r="Q23" i="43" s="1"/>
  <c r="L23" i="43"/>
  <c r="P23" i="43" s="1"/>
  <c r="K23" i="43"/>
  <c r="O23" i="43" s="1"/>
  <c r="AA22" i="43"/>
  <c r="F22" i="43" s="1"/>
  <c r="T22" i="43"/>
  <c r="M22" i="43"/>
  <c r="Q22" i="43" s="1"/>
  <c r="L22" i="43"/>
  <c r="P22" i="43" s="1"/>
  <c r="K22" i="43"/>
  <c r="O22" i="43" s="1"/>
  <c r="AA21" i="43"/>
  <c r="F21" i="43" s="1"/>
  <c r="T21" i="43"/>
  <c r="M21" i="43"/>
  <c r="Q21" i="43" s="1"/>
  <c r="L21" i="43"/>
  <c r="P21" i="43" s="1"/>
  <c r="AA20" i="43"/>
  <c r="F20" i="43" s="1"/>
  <c r="T20" i="43"/>
  <c r="M20" i="43"/>
  <c r="Q20" i="43" s="1"/>
  <c r="L20" i="43"/>
  <c r="P20" i="43" s="1"/>
  <c r="K20" i="43"/>
  <c r="O20" i="43" s="1"/>
  <c r="AA19" i="43"/>
  <c r="F19" i="43" s="1"/>
  <c r="T19" i="43"/>
  <c r="M19" i="43"/>
  <c r="Q19" i="43" s="1"/>
  <c r="L19" i="43"/>
  <c r="P19" i="43" s="1"/>
  <c r="K19" i="43"/>
  <c r="O19" i="43" s="1"/>
  <c r="AA18" i="43"/>
  <c r="F18" i="43" s="1"/>
  <c r="T18" i="43"/>
  <c r="M18" i="43"/>
  <c r="Q18" i="43" s="1"/>
  <c r="L18" i="43"/>
  <c r="P18" i="43" s="1"/>
  <c r="K18" i="43"/>
  <c r="O18" i="43" s="1"/>
  <c r="AA17" i="43"/>
  <c r="F17" i="43" s="1"/>
  <c r="T17" i="43"/>
  <c r="M17" i="43"/>
  <c r="Q17" i="43" s="1"/>
  <c r="L17" i="43"/>
  <c r="P17" i="43" s="1"/>
  <c r="AA16" i="43"/>
  <c r="F16" i="43" s="1"/>
  <c r="T16" i="43"/>
  <c r="M16" i="43"/>
  <c r="Q16" i="43" s="1"/>
  <c r="L16" i="43"/>
  <c r="P16" i="43" s="1"/>
  <c r="K16" i="43"/>
  <c r="O16" i="43" s="1"/>
  <c r="AA15" i="43"/>
  <c r="F15" i="43" s="1"/>
  <c r="T15" i="43"/>
  <c r="M15" i="43"/>
  <c r="Q15" i="43" s="1"/>
  <c r="L15" i="43"/>
  <c r="P15" i="43" s="1"/>
  <c r="K15" i="43"/>
  <c r="O15" i="43" s="1"/>
  <c r="AA14" i="43"/>
  <c r="F14" i="43" s="1"/>
  <c r="M14" i="43"/>
  <c r="Q14" i="43" s="1"/>
  <c r="L14" i="43"/>
  <c r="K14" i="43"/>
  <c r="O14" i="43" s="1"/>
  <c r="T13" i="43"/>
  <c r="M13" i="43"/>
  <c r="Q13" i="43" s="1"/>
  <c r="L13" i="43"/>
  <c r="P13" i="43" s="1"/>
  <c r="F13" i="43"/>
  <c r="AA12" i="43"/>
  <c r="F12" i="43" s="1"/>
  <c r="T12" i="43"/>
  <c r="M12" i="43"/>
  <c r="Q12" i="43" s="1"/>
  <c r="L12" i="43"/>
  <c r="P12" i="43" s="1"/>
  <c r="K12" i="43"/>
  <c r="O12" i="43" s="1"/>
  <c r="AA11" i="43"/>
  <c r="F11" i="43" s="1"/>
  <c r="T11" i="43"/>
  <c r="M11" i="43"/>
  <c r="Q11" i="43" s="1"/>
  <c r="L11" i="43"/>
  <c r="P11" i="43" s="1"/>
  <c r="K11" i="43"/>
  <c r="AA10" i="43"/>
  <c r="F10" i="43" s="1"/>
  <c r="T10" i="43"/>
  <c r="L10" i="43"/>
  <c r="P10" i="43" s="1"/>
  <c r="AG9" i="43"/>
  <c r="AF9" i="43"/>
  <c r="AE9" i="43"/>
  <c r="AD9" i="43"/>
  <c r="AC9" i="43"/>
  <c r="AB9" i="43"/>
  <c r="Z9" i="43"/>
  <c r="Y9" i="43"/>
  <c r="X9" i="43"/>
  <c r="W9" i="43"/>
  <c r="V9" i="43"/>
  <c r="U9" i="43"/>
  <c r="E9" i="43"/>
  <c r="D9" i="43"/>
  <c r="C9" i="43"/>
  <c r="P31" i="17"/>
  <c r="O31" i="17"/>
  <c r="P30" i="17"/>
  <c r="O30" i="17"/>
  <c r="P29" i="17"/>
  <c r="O29" i="17"/>
  <c r="P28" i="17"/>
  <c r="O28" i="17"/>
  <c r="P27" i="17"/>
  <c r="O27" i="17"/>
  <c r="P26" i="17"/>
  <c r="O26" i="17"/>
  <c r="P25" i="17"/>
  <c r="O25" i="17"/>
  <c r="P24" i="17"/>
  <c r="O24" i="17"/>
  <c r="P23" i="17"/>
  <c r="O23" i="17"/>
  <c r="P22" i="17"/>
  <c r="O22" i="17"/>
  <c r="P21" i="17"/>
  <c r="O21" i="17"/>
  <c r="P20" i="17"/>
  <c r="O20" i="17"/>
  <c r="P19" i="17"/>
  <c r="O19" i="17"/>
  <c r="P18" i="17"/>
  <c r="P17" i="17"/>
  <c r="O17" i="17"/>
  <c r="P16" i="17"/>
  <c r="O16" i="17"/>
  <c r="P15" i="17"/>
  <c r="O15" i="17"/>
  <c r="P14" i="17"/>
  <c r="O14" i="17"/>
  <c r="P13" i="17"/>
  <c r="O13" i="17"/>
  <c r="O12" i="17"/>
  <c r="E9" i="17"/>
  <c r="D9" i="17"/>
  <c r="C9" i="17"/>
  <c r="D55" i="42"/>
  <c r="E56" i="42" s="1"/>
  <c r="D48" i="42"/>
  <c r="E54" i="42" s="1"/>
  <c r="D44" i="42"/>
  <c r="E46" i="42" s="1"/>
  <c r="D38" i="42"/>
  <c r="E42" i="42" s="1"/>
  <c r="D34" i="42"/>
  <c r="E35" i="42" s="1"/>
  <c r="D29" i="42"/>
  <c r="E30" i="42" s="1"/>
  <c r="D24" i="42"/>
  <c r="E26" i="42" s="1"/>
  <c r="D18" i="42"/>
  <c r="E22" i="42" s="1"/>
  <c r="D11" i="42"/>
  <c r="D6" i="42"/>
  <c r="H16" i="41"/>
  <c r="H15" i="41"/>
  <c r="H14" i="41"/>
  <c r="H13" i="41"/>
  <c r="H12" i="41"/>
  <c r="H10" i="41"/>
  <c r="H9" i="41"/>
  <c r="H8" i="41"/>
  <c r="C68" i="39"/>
  <c r="D68" i="39" s="1"/>
  <c r="K32" i="39"/>
  <c r="H32" i="39"/>
  <c r="C67" i="39"/>
  <c r="D67" i="39" s="1"/>
  <c r="K31" i="39"/>
  <c r="H31" i="39"/>
  <c r="C66" i="39"/>
  <c r="D66" i="39" s="1"/>
  <c r="K30" i="39"/>
  <c r="H30" i="39"/>
  <c r="C65" i="39"/>
  <c r="D65" i="39" s="1"/>
  <c r="K29" i="39"/>
  <c r="H29" i="39"/>
  <c r="C64" i="39"/>
  <c r="D64" i="39" s="1"/>
  <c r="K28" i="39"/>
  <c r="H28" i="39"/>
  <c r="C63" i="39"/>
  <c r="D63" i="39" s="1"/>
  <c r="K27" i="39"/>
  <c r="H27" i="39"/>
  <c r="C62" i="39"/>
  <c r="D62" i="39" s="1"/>
  <c r="K26" i="39"/>
  <c r="H26" i="39"/>
  <c r="C61" i="39"/>
  <c r="D61" i="39" s="1"/>
  <c r="K25" i="39"/>
  <c r="H25" i="39"/>
  <c r="C60" i="39"/>
  <c r="D60" i="39" s="1"/>
  <c r="K24" i="39"/>
  <c r="H24" i="39"/>
  <c r="C59" i="39"/>
  <c r="D59" i="39" s="1"/>
  <c r="K23" i="39"/>
  <c r="H23" i="39"/>
  <c r="C58" i="39"/>
  <c r="D58" i="39" s="1"/>
  <c r="K22" i="39"/>
  <c r="H22" i="39"/>
  <c r="C57" i="39"/>
  <c r="D57" i="39" s="1"/>
  <c r="K21" i="39"/>
  <c r="H21" i="39"/>
  <c r="C56" i="39"/>
  <c r="D56" i="39" s="1"/>
  <c r="K20" i="39"/>
  <c r="H20" i="39"/>
  <c r="C55" i="39"/>
  <c r="D55" i="39" s="1"/>
  <c r="K19" i="39"/>
  <c r="H19" i="39"/>
  <c r="C54" i="39"/>
  <c r="D54" i="39" s="1"/>
  <c r="K18" i="39"/>
  <c r="H18" i="39"/>
  <c r="C53" i="39"/>
  <c r="D53" i="39" s="1"/>
  <c r="K17" i="39"/>
  <c r="H17" i="39"/>
  <c r="C52" i="39"/>
  <c r="D52" i="39" s="1"/>
  <c r="H16" i="39"/>
  <c r="C51" i="39"/>
  <c r="D51" i="39" s="1"/>
  <c r="K15" i="39"/>
  <c r="H15" i="39"/>
  <c r="C50" i="39"/>
  <c r="D50" i="39" s="1"/>
  <c r="K14" i="39"/>
  <c r="H14" i="39"/>
  <c r="C49" i="39"/>
  <c r="D49" i="39" s="1"/>
  <c r="K13" i="39"/>
  <c r="H13" i="39"/>
  <c r="C48" i="39"/>
  <c r="D48" i="39" s="1"/>
  <c r="K12" i="39"/>
  <c r="H12" i="39"/>
  <c r="C47" i="39"/>
  <c r="D47" i="39" s="1"/>
  <c r="K11" i="39"/>
  <c r="H11" i="39"/>
  <c r="C46" i="39"/>
  <c r="D46" i="39" s="1"/>
  <c r="K10" i="39"/>
  <c r="H10" i="39"/>
  <c r="C45" i="39"/>
  <c r="D45" i="39" s="1"/>
  <c r="K9" i="39"/>
  <c r="H9" i="39"/>
  <c r="C44" i="39"/>
  <c r="D44" i="39" s="1"/>
  <c r="K8" i="39"/>
  <c r="H8" i="39"/>
  <c r="N35" i="40"/>
  <c r="J35" i="40"/>
  <c r="H35" i="40"/>
  <c r="I35" i="40"/>
  <c r="N34" i="40"/>
  <c r="J34" i="40"/>
  <c r="H34" i="40"/>
  <c r="E34" i="40"/>
  <c r="N33" i="40"/>
  <c r="J33" i="40"/>
  <c r="H33" i="40"/>
  <c r="E33" i="40"/>
  <c r="N32" i="40"/>
  <c r="J32" i="40"/>
  <c r="H32" i="40"/>
  <c r="I32" i="40"/>
  <c r="N31" i="40"/>
  <c r="J31" i="40"/>
  <c r="H31" i="40"/>
  <c r="I31" i="40"/>
  <c r="N30" i="40"/>
  <c r="J30" i="40"/>
  <c r="H30" i="40"/>
  <c r="E30" i="40"/>
  <c r="N29" i="40"/>
  <c r="J29" i="40"/>
  <c r="H29" i="40"/>
  <c r="E29" i="40"/>
  <c r="N28" i="40"/>
  <c r="J28" i="40"/>
  <c r="H28" i="40"/>
  <c r="E28" i="40"/>
  <c r="N27" i="40"/>
  <c r="J27" i="40"/>
  <c r="H27" i="40"/>
  <c r="I27" i="40"/>
  <c r="N26" i="40"/>
  <c r="J26" i="40"/>
  <c r="H26" i="40"/>
  <c r="I26" i="40"/>
  <c r="N25" i="40"/>
  <c r="J25" i="40"/>
  <c r="H25" i="40"/>
  <c r="E25" i="40"/>
  <c r="N24" i="40"/>
  <c r="J24" i="40"/>
  <c r="H24" i="40"/>
  <c r="E24" i="40"/>
  <c r="N23" i="40"/>
  <c r="J23" i="40"/>
  <c r="H23" i="40"/>
  <c r="I23" i="40"/>
  <c r="N22" i="40"/>
  <c r="J22" i="40"/>
  <c r="H22" i="40"/>
  <c r="E22" i="40"/>
  <c r="N21" i="40"/>
  <c r="J21" i="40"/>
  <c r="H21" i="40"/>
  <c r="E21" i="40"/>
  <c r="N20" i="40"/>
  <c r="J20" i="40"/>
  <c r="H20" i="40"/>
  <c r="E20" i="40"/>
  <c r="N19" i="40"/>
  <c r="J19" i="40"/>
  <c r="H19" i="40"/>
  <c r="I19" i="40"/>
  <c r="N18" i="40"/>
  <c r="J18" i="40"/>
  <c r="H18" i="40"/>
  <c r="E18" i="40"/>
  <c r="N17" i="40"/>
  <c r="J17" i="40"/>
  <c r="H17" i="40"/>
  <c r="E17" i="40"/>
  <c r="N16" i="40"/>
  <c r="J16" i="40"/>
  <c r="H16" i="40"/>
  <c r="I16" i="40"/>
  <c r="N15" i="40"/>
  <c r="J15" i="40"/>
  <c r="H15" i="40"/>
  <c r="I15" i="40"/>
  <c r="N14" i="40"/>
  <c r="J14" i="40"/>
  <c r="H14" i="40"/>
  <c r="E14" i="40"/>
  <c r="N13" i="40"/>
  <c r="J13" i="40"/>
  <c r="H13" i="40"/>
  <c r="E13" i="40"/>
  <c r="N12" i="40"/>
  <c r="J12" i="40"/>
  <c r="H12" i="40"/>
  <c r="N11" i="40"/>
  <c r="H11" i="40"/>
  <c r="M10" i="40"/>
  <c r="L10" i="40"/>
  <c r="V22" i="40" s="1"/>
  <c r="G10" i="40"/>
  <c r="H10" i="40" s="1"/>
  <c r="I31" i="37"/>
  <c r="M31" i="37" s="1"/>
  <c r="N31" i="37" s="1"/>
  <c r="G31" i="37"/>
  <c r="K31" i="37" s="1"/>
  <c r="L31" i="37" s="1"/>
  <c r="F31" i="37"/>
  <c r="D31" i="37"/>
  <c r="I30" i="37"/>
  <c r="M30" i="37" s="1"/>
  <c r="N30" i="37" s="1"/>
  <c r="G30" i="37"/>
  <c r="K30" i="37" s="1"/>
  <c r="L30" i="37" s="1"/>
  <c r="F30" i="37"/>
  <c r="D30" i="37"/>
  <c r="I29" i="37"/>
  <c r="M29" i="37" s="1"/>
  <c r="N29" i="37" s="1"/>
  <c r="G29" i="37"/>
  <c r="K29" i="37" s="1"/>
  <c r="L29" i="37" s="1"/>
  <c r="F29" i="37"/>
  <c r="D29" i="37"/>
  <c r="I28" i="37"/>
  <c r="G28" i="37"/>
  <c r="K28" i="37" s="1"/>
  <c r="L28" i="37" s="1"/>
  <c r="F28" i="37"/>
  <c r="D28" i="37"/>
  <c r="G27" i="37"/>
  <c r="F27" i="37"/>
  <c r="I26" i="37"/>
  <c r="M26" i="37" s="1"/>
  <c r="N26" i="37" s="1"/>
  <c r="G26" i="37"/>
  <c r="F26" i="37"/>
  <c r="I25" i="37"/>
  <c r="M25" i="37" s="1"/>
  <c r="N25" i="37" s="1"/>
  <c r="G25" i="37"/>
  <c r="K25" i="37" s="1"/>
  <c r="L25" i="37" s="1"/>
  <c r="F25" i="37"/>
  <c r="D25" i="37"/>
  <c r="M24" i="37"/>
  <c r="N24" i="37" s="1"/>
  <c r="F24" i="37"/>
  <c r="D24" i="37"/>
  <c r="K22" i="37"/>
  <c r="L22" i="37" s="1"/>
  <c r="I22" i="37"/>
  <c r="M22" i="37" s="1"/>
  <c r="N22" i="37" s="1"/>
  <c r="I21" i="37"/>
  <c r="M16" i="37"/>
  <c r="N16" i="37" s="1"/>
  <c r="K16" i="37"/>
  <c r="L16" i="37" s="1"/>
  <c r="J16" i="37"/>
  <c r="H16" i="37"/>
  <c r="F16" i="37"/>
  <c r="M15" i="37"/>
  <c r="N15" i="37" s="1"/>
  <c r="K15" i="37"/>
  <c r="L15" i="37" s="1"/>
  <c r="J15" i="37"/>
  <c r="H15" i="37"/>
  <c r="F15" i="37"/>
  <c r="M14" i="37"/>
  <c r="N14" i="37" s="1"/>
  <c r="K14" i="37"/>
  <c r="L14" i="37" s="1"/>
  <c r="J14" i="37"/>
  <c r="H14" i="37"/>
  <c r="F14" i="37"/>
  <c r="M13" i="37"/>
  <c r="N13" i="37" s="1"/>
  <c r="K13" i="37"/>
  <c r="L13" i="37" s="1"/>
  <c r="J13" i="37"/>
  <c r="H13" i="37"/>
  <c r="F13" i="37"/>
  <c r="M12" i="37"/>
  <c r="N12" i="37" s="1"/>
  <c r="L12" i="37"/>
  <c r="J12" i="37"/>
  <c r="F12" i="37"/>
  <c r="P12" i="37"/>
  <c r="M11" i="37"/>
  <c r="N11" i="37" s="1"/>
  <c r="J11" i="37"/>
  <c r="M10" i="37"/>
  <c r="N10" i="37" s="1"/>
  <c r="K10" i="37"/>
  <c r="L10" i="37" s="1"/>
  <c r="J10" i="37"/>
  <c r="H10" i="37"/>
  <c r="F10" i="37"/>
  <c r="M9" i="37"/>
  <c r="N9" i="37" s="1"/>
  <c r="J9" i="37"/>
  <c r="F9" i="37"/>
  <c r="P9" i="37"/>
  <c r="M7" i="37"/>
  <c r="N7" i="37" s="1"/>
  <c r="K7" i="37"/>
  <c r="L7" i="37" s="1"/>
  <c r="M6" i="37"/>
  <c r="N6" i="37" s="1"/>
  <c r="L6" i="37"/>
  <c r="G7" i="3"/>
  <c r="F7" i="3"/>
  <c r="D7" i="3"/>
  <c r="C7" i="3"/>
  <c r="F38" i="12"/>
  <c r="D38" i="12"/>
  <c r="F22" i="12"/>
  <c r="D23" i="12"/>
  <c r="H36" i="32"/>
  <c r="G36" i="32"/>
  <c r="H35" i="32"/>
  <c r="G35" i="32"/>
  <c r="H34" i="32"/>
  <c r="G34" i="32"/>
  <c r="H33" i="32"/>
  <c r="G33" i="32"/>
  <c r="H32" i="32"/>
  <c r="G32" i="32"/>
  <c r="H31" i="32"/>
  <c r="G31" i="32"/>
  <c r="H30" i="32"/>
  <c r="G30" i="32"/>
  <c r="H29" i="32"/>
  <c r="G29" i="32"/>
  <c r="H28" i="32"/>
  <c r="G28" i="32"/>
  <c r="H27" i="32"/>
  <c r="G27" i="32"/>
  <c r="H26" i="32"/>
  <c r="G26" i="32"/>
  <c r="H25" i="32"/>
  <c r="G25" i="32"/>
  <c r="H24" i="32"/>
  <c r="G24" i="32"/>
  <c r="H23" i="32"/>
  <c r="G23" i="32"/>
  <c r="H22" i="32"/>
  <c r="G22" i="32"/>
  <c r="H21" i="32"/>
  <c r="G21" i="32"/>
  <c r="H20" i="32"/>
  <c r="G20" i="32"/>
  <c r="H19" i="32"/>
  <c r="G19" i="32"/>
  <c r="H18" i="32"/>
  <c r="G18" i="32"/>
  <c r="H17" i="32"/>
  <c r="H16" i="32"/>
  <c r="H15" i="32"/>
  <c r="G15" i="32"/>
  <c r="H14" i="32"/>
  <c r="G14" i="32"/>
  <c r="H13" i="32"/>
  <c r="G13" i="32"/>
  <c r="H12" i="32"/>
  <c r="G12" i="32"/>
  <c r="F7" i="32"/>
  <c r="K34" i="29"/>
  <c r="L34" i="29" s="1"/>
  <c r="I34" i="29"/>
  <c r="J34" i="29" s="1"/>
  <c r="H34" i="29"/>
  <c r="E34" i="29"/>
  <c r="K33" i="29"/>
  <c r="L33" i="29" s="1"/>
  <c r="I33" i="29"/>
  <c r="J33" i="29" s="1"/>
  <c r="H33" i="29"/>
  <c r="E33" i="29"/>
  <c r="K32" i="29"/>
  <c r="L32" i="29" s="1"/>
  <c r="I32" i="29"/>
  <c r="J32" i="29" s="1"/>
  <c r="H32" i="29"/>
  <c r="E32" i="29"/>
  <c r="K31" i="29"/>
  <c r="L31" i="29" s="1"/>
  <c r="I31" i="29"/>
  <c r="J31" i="29" s="1"/>
  <c r="H31" i="29"/>
  <c r="E31" i="29"/>
  <c r="K30" i="29"/>
  <c r="L30" i="29" s="1"/>
  <c r="I30" i="29"/>
  <c r="J30" i="29" s="1"/>
  <c r="H30" i="29"/>
  <c r="E30" i="29"/>
  <c r="K29" i="29"/>
  <c r="L29" i="29" s="1"/>
  <c r="I29" i="29"/>
  <c r="J29" i="29" s="1"/>
  <c r="H29" i="29"/>
  <c r="E29" i="29"/>
  <c r="K28" i="29"/>
  <c r="L28" i="29" s="1"/>
  <c r="I28" i="29"/>
  <c r="J28" i="29" s="1"/>
  <c r="H28" i="29"/>
  <c r="E28" i="29"/>
  <c r="K27" i="29"/>
  <c r="L27" i="29" s="1"/>
  <c r="I27" i="29"/>
  <c r="J27" i="29" s="1"/>
  <c r="H27" i="29"/>
  <c r="E27" i="29"/>
  <c r="K26" i="29"/>
  <c r="L26" i="29" s="1"/>
  <c r="I26" i="29"/>
  <c r="J26" i="29" s="1"/>
  <c r="H26" i="29"/>
  <c r="E26" i="29"/>
  <c r="K25" i="29"/>
  <c r="L25" i="29" s="1"/>
  <c r="I25" i="29"/>
  <c r="J25" i="29" s="1"/>
  <c r="H25" i="29"/>
  <c r="E25" i="29"/>
  <c r="K24" i="29"/>
  <c r="L24" i="29" s="1"/>
  <c r="I24" i="29"/>
  <c r="J24" i="29" s="1"/>
  <c r="H24" i="29"/>
  <c r="E24" i="29"/>
  <c r="K23" i="29"/>
  <c r="L23" i="29" s="1"/>
  <c r="I23" i="29"/>
  <c r="J23" i="29" s="1"/>
  <c r="H23" i="29"/>
  <c r="E23" i="29"/>
  <c r="K22" i="29"/>
  <c r="L22" i="29" s="1"/>
  <c r="I22" i="29"/>
  <c r="J22" i="29" s="1"/>
  <c r="H22" i="29"/>
  <c r="E22" i="29"/>
  <c r="K21" i="29"/>
  <c r="L21" i="29" s="1"/>
  <c r="I21" i="29"/>
  <c r="J21" i="29" s="1"/>
  <c r="H21" i="29"/>
  <c r="E21" i="29"/>
  <c r="K20" i="29"/>
  <c r="L20" i="29" s="1"/>
  <c r="I20" i="29"/>
  <c r="J20" i="29" s="1"/>
  <c r="H20" i="29"/>
  <c r="E20" i="29"/>
  <c r="K19" i="29"/>
  <c r="L19" i="29" s="1"/>
  <c r="I19" i="29"/>
  <c r="J19" i="29" s="1"/>
  <c r="H19" i="29"/>
  <c r="E19" i="29"/>
  <c r="K18" i="29"/>
  <c r="L18" i="29" s="1"/>
  <c r="I18" i="29"/>
  <c r="J18" i="29" s="1"/>
  <c r="H18" i="29"/>
  <c r="E18" i="29"/>
  <c r="K17" i="29"/>
  <c r="L17" i="29" s="1"/>
  <c r="I17" i="29"/>
  <c r="J17" i="29" s="1"/>
  <c r="H17" i="29"/>
  <c r="E17" i="29"/>
  <c r="K16" i="29"/>
  <c r="L16" i="29" s="1"/>
  <c r="I16" i="29"/>
  <c r="J16" i="29" s="1"/>
  <c r="H16" i="29"/>
  <c r="E16" i="29"/>
  <c r="K15" i="29"/>
  <c r="L15" i="29" s="1"/>
  <c r="I15" i="29"/>
  <c r="J15" i="29" s="1"/>
  <c r="H15" i="29"/>
  <c r="E15" i="29"/>
  <c r="K14" i="29"/>
  <c r="L14" i="29" s="1"/>
  <c r="I14" i="29"/>
  <c r="J14" i="29" s="1"/>
  <c r="H14" i="29"/>
  <c r="E14" i="29"/>
  <c r="K13" i="29"/>
  <c r="L13" i="29" s="1"/>
  <c r="I13" i="29"/>
  <c r="J13" i="29" s="1"/>
  <c r="H13" i="29"/>
  <c r="E13" i="29"/>
  <c r="K12" i="29"/>
  <c r="L12" i="29" s="1"/>
  <c r="I12" i="29"/>
  <c r="J12" i="29" s="1"/>
  <c r="H12" i="29"/>
  <c r="E12" i="29"/>
  <c r="K11" i="29"/>
  <c r="L11" i="29" s="1"/>
  <c r="I11" i="29"/>
  <c r="J11" i="29" s="1"/>
  <c r="H11" i="29"/>
  <c r="E11" i="29"/>
  <c r="K10" i="29"/>
  <c r="L10" i="29" s="1"/>
  <c r="I10" i="29"/>
  <c r="J10" i="29" s="1"/>
  <c r="H10" i="29"/>
  <c r="E10" i="29"/>
  <c r="G9" i="29"/>
  <c r="F9" i="29"/>
  <c r="D9" i="29"/>
  <c r="C9" i="29"/>
  <c r="H13" i="31"/>
  <c r="G13" i="31"/>
  <c r="F13" i="31"/>
  <c r="D13" i="31"/>
  <c r="H12" i="31"/>
  <c r="G12" i="31"/>
  <c r="F12" i="31"/>
  <c r="D12" i="31"/>
  <c r="H11" i="31"/>
  <c r="F11" i="31"/>
  <c r="D11" i="31"/>
  <c r="G9" i="31"/>
  <c r="H8" i="31"/>
  <c r="F8" i="31"/>
  <c r="D8" i="31"/>
  <c r="H7" i="31"/>
  <c r="G42" i="27"/>
  <c r="F42" i="27"/>
  <c r="D42" i="27"/>
  <c r="G41" i="27"/>
  <c r="F41" i="27"/>
  <c r="D41" i="27"/>
  <c r="G40" i="27"/>
  <c r="F40" i="27"/>
  <c r="D40" i="27"/>
  <c r="G39" i="27"/>
  <c r="F39" i="27"/>
  <c r="D39" i="27"/>
  <c r="G38" i="27"/>
  <c r="F38" i="27"/>
  <c r="D38" i="27"/>
  <c r="G37" i="27"/>
  <c r="F37" i="27"/>
  <c r="D37" i="27"/>
  <c r="G36" i="27"/>
  <c r="F36" i="27"/>
  <c r="D36" i="27"/>
  <c r="G35" i="27"/>
  <c r="F35" i="27"/>
  <c r="D35" i="27"/>
  <c r="F34" i="27"/>
  <c r="G33" i="27"/>
  <c r="F33" i="27"/>
  <c r="D33" i="27"/>
  <c r="G32" i="27"/>
  <c r="F32" i="27"/>
  <c r="D32" i="27"/>
  <c r="G31" i="27"/>
  <c r="F31" i="27"/>
  <c r="D31" i="27"/>
  <c r="G30" i="27"/>
  <c r="F30" i="27"/>
  <c r="D30" i="27"/>
  <c r="G29" i="27"/>
  <c r="F29" i="27"/>
  <c r="D29" i="27"/>
  <c r="G28" i="27"/>
  <c r="F28" i="27"/>
  <c r="D28" i="27"/>
  <c r="G27" i="27"/>
  <c r="D27" i="27"/>
  <c r="G26" i="27"/>
  <c r="F26" i="27"/>
  <c r="D26" i="27"/>
  <c r="D25" i="27"/>
  <c r="G24" i="27"/>
  <c r="F24" i="27"/>
  <c r="D24" i="27"/>
  <c r="G23" i="27"/>
  <c r="F23" i="27"/>
  <c r="D23" i="27"/>
  <c r="G22" i="27"/>
  <c r="F22" i="27"/>
  <c r="D22" i="27"/>
  <c r="G21" i="27"/>
  <c r="F21" i="27"/>
  <c r="D21" i="27"/>
  <c r="G20" i="27"/>
  <c r="F20" i="27"/>
  <c r="D20" i="27"/>
  <c r="G19" i="27"/>
  <c r="F19" i="27"/>
  <c r="D19" i="27"/>
  <c r="G18" i="27"/>
  <c r="D18" i="27"/>
  <c r="G17" i="27"/>
  <c r="F17" i="27"/>
  <c r="D17" i="27"/>
  <c r="G16" i="27"/>
  <c r="F16" i="27"/>
  <c r="D16" i="27"/>
  <c r="G15" i="27"/>
  <c r="F15" i="27"/>
  <c r="D15" i="27"/>
  <c r="G14" i="27"/>
  <c r="F14" i="27"/>
  <c r="D14" i="27"/>
  <c r="G13" i="27"/>
  <c r="F13" i="27"/>
  <c r="D13" i="27"/>
  <c r="G11" i="27"/>
  <c r="D11" i="27"/>
  <c r="G10" i="27"/>
  <c r="D10" i="27"/>
  <c r="G6" i="27"/>
  <c r="G34" i="28"/>
  <c r="H34" i="28" s="1"/>
  <c r="G33" i="28"/>
  <c r="H33" i="28" s="1"/>
  <c r="G32" i="28"/>
  <c r="H32" i="28" s="1"/>
  <c r="G31" i="28"/>
  <c r="H31" i="28" s="1"/>
  <c r="G30" i="28"/>
  <c r="H30" i="28" s="1"/>
  <c r="G29" i="28"/>
  <c r="H29" i="28" s="1"/>
  <c r="G28" i="28"/>
  <c r="H28" i="28" s="1"/>
  <c r="G27" i="28"/>
  <c r="H27" i="28" s="1"/>
  <c r="G26" i="28"/>
  <c r="H26" i="28" s="1"/>
  <c r="G25" i="28"/>
  <c r="H25" i="28" s="1"/>
  <c r="G24" i="28"/>
  <c r="H24" i="28" s="1"/>
  <c r="G23" i="28"/>
  <c r="H23" i="28" s="1"/>
  <c r="G22" i="28"/>
  <c r="H22" i="28" s="1"/>
  <c r="G21" i="28"/>
  <c r="H21" i="28" s="1"/>
  <c r="G20" i="28"/>
  <c r="H20" i="28" s="1"/>
  <c r="G19" i="28"/>
  <c r="H19" i="28" s="1"/>
  <c r="G18" i="28"/>
  <c r="H18" i="28" s="1"/>
  <c r="G17" i="28"/>
  <c r="H17" i="28" s="1"/>
  <c r="G16" i="28"/>
  <c r="H16" i="28" s="1"/>
  <c r="G15" i="28"/>
  <c r="H15" i="28" s="1"/>
  <c r="G14" i="28"/>
  <c r="H14" i="28" s="1"/>
  <c r="G13" i="28"/>
  <c r="H13" i="28" s="1"/>
  <c r="G12" i="28"/>
  <c r="H12" i="28" s="1"/>
  <c r="G11" i="28"/>
  <c r="H11" i="28" s="1"/>
  <c r="G10" i="28"/>
  <c r="H10" i="28" s="1"/>
  <c r="D9" i="28"/>
  <c r="C9" i="28"/>
  <c r="J17" i="6"/>
  <c r="F17" i="6"/>
  <c r="D17" i="6"/>
  <c r="J16" i="6"/>
  <c r="F16" i="6"/>
  <c r="D16" i="6"/>
  <c r="J15" i="6"/>
  <c r="F15" i="6"/>
  <c r="D15" i="6"/>
  <c r="J14" i="6"/>
  <c r="F14" i="6"/>
  <c r="D14" i="6"/>
  <c r="J13" i="6"/>
  <c r="F13" i="6"/>
  <c r="D13" i="6"/>
  <c r="J12" i="6"/>
  <c r="F12" i="6"/>
  <c r="D12" i="6"/>
  <c r="F10" i="6"/>
  <c r="D10" i="6"/>
  <c r="J9" i="6"/>
  <c r="F9" i="6"/>
  <c r="D9" i="6"/>
  <c r="L32" i="2"/>
  <c r="K32" i="2"/>
  <c r="G32" i="2"/>
  <c r="F32" i="2"/>
  <c r="L31" i="2"/>
  <c r="K31" i="2"/>
  <c r="G31" i="2"/>
  <c r="F31" i="2"/>
  <c r="L30" i="2"/>
  <c r="K30" i="2"/>
  <c r="G30" i="2"/>
  <c r="F30" i="2"/>
  <c r="L29" i="2"/>
  <c r="K29" i="2"/>
  <c r="G29" i="2"/>
  <c r="F29" i="2"/>
  <c r="L28" i="2"/>
  <c r="K28" i="2"/>
  <c r="G28" i="2"/>
  <c r="F28" i="2"/>
  <c r="L27" i="2"/>
  <c r="K27" i="2"/>
  <c r="G27" i="2"/>
  <c r="F27" i="2"/>
  <c r="L26" i="2"/>
  <c r="K26" i="2"/>
  <c r="G26" i="2"/>
  <c r="F26" i="2"/>
  <c r="L25" i="2"/>
  <c r="K25" i="2"/>
  <c r="G25" i="2"/>
  <c r="F25" i="2"/>
  <c r="L24" i="2"/>
  <c r="K24" i="2"/>
  <c r="G24" i="2"/>
  <c r="F24" i="2"/>
  <c r="L23" i="2"/>
  <c r="K23" i="2"/>
  <c r="G23" i="2"/>
  <c r="F23" i="2"/>
  <c r="L22" i="2"/>
  <c r="K22" i="2"/>
  <c r="G22" i="2"/>
  <c r="F22" i="2"/>
  <c r="L21" i="2"/>
  <c r="K21" i="2"/>
  <c r="G21" i="2"/>
  <c r="F21" i="2"/>
  <c r="L20" i="2"/>
  <c r="K20" i="2"/>
  <c r="G20" i="2"/>
  <c r="F20" i="2"/>
  <c r="L19" i="2"/>
  <c r="K19" i="2"/>
  <c r="G19" i="2"/>
  <c r="F19" i="2"/>
  <c r="L18" i="2"/>
  <c r="K18" i="2"/>
  <c r="G18" i="2"/>
  <c r="F18" i="2"/>
  <c r="L17" i="2"/>
  <c r="K17" i="2"/>
  <c r="G17" i="2"/>
  <c r="F17" i="2"/>
  <c r="K16" i="2"/>
  <c r="G16" i="2"/>
  <c r="F16" i="2"/>
  <c r="G15" i="2"/>
  <c r="F15" i="2"/>
  <c r="G14" i="2"/>
  <c r="F14" i="2"/>
  <c r="K13" i="2"/>
  <c r="G13" i="2"/>
  <c r="F13" i="2"/>
  <c r="G12" i="2"/>
  <c r="F12" i="2"/>
  <c r="G11" i="2"/>
  <c r="G10" i="2"/>
  <c r="F10" i="2"/>
  <c r="E7" i="2"/>
  <c r="D7" i="2"/>
  <c r="E9" i="28" l="1"/>
  <c r="D65" i="42"/>
  <c r="J13" i="32"/>
  <c r="N14" i="6"/>
  <c r="J10" i="40"/>
  <c r="O14" i="6"/>
  <c r="D59" i="44"/>
  <c r="D60" i="44" s="1"/>
  <c r="E58" i="44" s="1"/>
  <c r="E15" i="42"/>
  <c r="D60" i="42"/>
  <c r="P11" i="3"/>
  <c r="O11" i="3"/>
  <c r="P15" i="3"/>
  <c r="O15" i="3"/>
  <c r="P19" i="3"/>
  <c r="O19" i="3"/>
  <c r="P23" i="3"/>
  <c r="O23" i="3"/>
  <c r="O27" i="3"/>
  <c r="P27" i="3"/>
  <c r="P12" i="3"/>
  <c r="O12" i="3"/>
  <c r="P16" i="3"/>
  <c r="O16" i="3"/>
  <c r="P20" i="3"/>
  <c r="O20" i="3"/>
  <c r="P24" i="3"/>
  <c r="O24" i="3"/>
  <c r="O28" i="3"/>
  <c r="P28" i="3"/>
  <c r="P13" i="3"/>
  <c r="O13" i="3"/>
  <c r="P17" i="3"/>
  <c r="O17" i="3"/>
  <c r="P21" i="3"/>
  <c r="O21" i="3"/>
  <c r="P25" i="3"/>
  <c r="O25" i="3"/>
  <c r="P29" i="3"/>
  <c r="O29" i="3"/>
  <c r="O10" i="3"/>
  <c r="P10" i="3"/>
  <c r="P14" i="3"/>
  <c r="O14" i="3"/>
  <c r="P18" i="3"/>
  <c r="O18" i="3"/>
  <c r="P22" i="3"/>
  <c r="O22" i="3"/>
  <c r="O26" i="3"/>
  <c r="P26" i="3"/>
  <c r="O30" i="3"/>
  <c r="P30" i="3"/>
  <c r="N8" i="2"/>
  <c r="AA9" i="43"/>
  <c r="F9" i="43" s="1"/>
  <c r="C10" i="40"/>
  <c r="W20" i="40" s="1"/>
  <c r="E57" i="42"/>
  <c r="E58" i="42"/>
  <c r="E10" i="42"/>
  <c r="E8" i="42"/>
  <c r="E7" i="42"/>
  <c r="E9" i="42"/>
  <c r="O11" i="43"/>
  <c r="J31" i="37"/>
  <c r="J16" i="32"/>
  <c r="J12" i="32"/>
  <c r="J14" i="32"/>
  <c r="J17" i="32"/>
  <c r="J21" i="32"/>
  <c r="J23" i="32"/>
  <c r="J25" i="32"/>
  <c r="J27" i="32"/>
  <c r="J29" i="32"/>
  <c r="J31" i="32"/>
  <c r="J35" i="32"/>
  <c r="J19" i="32"/>
  <c r="J33" i="32"/>
  <c r="J15" i="32"/>
  <c r="J18" i="32"/>
  <c r="J20" i="32"/>
  <c r="J22" i="32"/>
  <c r="J24" i="32"/>
  <c r="J26" i="32"/>
  <c r="J28" i="32"/>
  <c r="J30" i="32"/>
  <c r="J32" i="32"/>
  <c r="J34" i="32"/>
  <c r="J36" i="32"/>
  <c r="E7" i="27"/>
  <c r="F7" i="27" s="1"/>
  <c r="H17" i="6"/>
  <c r="K9" i="29"/>
  <c r="L9" i="29" s="1"/>
  <c r="G7" i="32"/>
  <c r="H7" i="32"/>
  <c r="J9" i="29"/>
  <c r="F9" i="31"/>
  <c r="F7" i="31" s="1"/>
  <c r="H9" i="28"/>
  <c r="O9" i="6"/>
  <c r="E37" i="42"/>
  <c r="E36" i="42"/>
  <c r="H18" i="41"/>
  <c r="E8" i="44"/>
  <c r="T9" i="43"/>
  <c r="J28" i="37"/>
  <c r="E48" i="44"/>
  <c r="E50" i="44"/>
  <c r="E52" i="44"/>
  <c r="E53" i="44"/>
  <c r="E49" i="44"/>
  <c r="E45" i="44"/>
  <c r="E44" i="44"/>
  <c r="E40" i="44"/>
  <c r="E41" i="44"/>
  <c r="E39" i="44"/>
  <c r="E38" i="44"/>
  <c r="E36" i="44"/>
  <c r="E35" i="44"/>
  <c r="E29" i="44"/>
  <c r="E31" i="44"/>
  <c r="E32" i="44"/>
  <c r="E27" i="44"/>
  <c r="E25" i="44"/>
  <c r="E24" i="44"/>
  <c r="E19" i="44"/>
  <c r="E20" i="44"/>
  <c r="E21" i="44"/>
  <c r="E18" i="44"/>
  <c r="E16" i="44"/>
  <c r="E13" i="44"/>
  <c r="E12" i="44"/>
  <c r="E11" i="44"/>
  <c r="E15" i="44"/>
  <c r="E9" i="44"/>
  <c r="E7" i="44"/>
  <c r="E6" i="44"/>
  <c r="J17" i="43"/>
  <c r="N17" i="43" s="1"/>
  <c r="R17" i="43" s="1"/>
  <c r="J29" i="43"/>
  <c r="N29" i="43" s="1"/>
  <c r="R29" i="43" s="1"/>
  <c r="J13" i="43"/>
  <c r="N13" i="43" s="1"/>
  <c r="R13" i="43" s="1"/>
  <c r="J21" i="43"/>
  <c r="N21" i="43" s="1"/>
  <c r="R21" i="43" s="1"/>
  <c r="J25" i="43"/>
  <c r="N25" i="43" s="1"/>
  <c r="R25" i="43" s="1"/>
  <c r="J33" i="43"/>
  <c r="N33" i="43" s="1"/>
  <c r="R33" i="43" s="1"/>
  <c r="E49" i="42"/>
  <c r="E51" i="42"/>
  <c r="E52" i="42"/>
  <c r="E53" i="42"/>
  <c r="E50" i="42"/>
  <c r="E47" i="42"/>
  <c r="E45" i="42"/>
  <c r="E41" i="42"/>
  <c r="E40" i="42"/>
  <c r="E39" i="42"/>
  <c r="E43" i="42"/>
  <c r="E32" i="42"/>
  <c r="E31" i="42"/>
  <c r="E33" i="42"/>
  <c r="E27" i="42"/>
  <c r="E28" i="42"/>
  <c r="E25" i="42"/>
  <c r="E21" i="42"/>
  <c r="E20" i="42"/>
  <c r="E19" i="42"/>
  <c r="E23" i="42"/>
  <c r="E14" i="42"/>
  <c r="E12" i="42"/>
  <c r="E17" i="42"/>
  <c r="E16" i="42"/>
  <c r="E13" i="42"/>
  <c r="F19" i="41"/>
  <c r="E19" i="41"/>
  <c r="N10" i="40"/>
  <c r="K12" i="40"/>
  <c r="K15" i="40"/>
  <c r="K16" i="40"/>
  <c r="K19" i="40"/>
  <c r="K23" i="40"/>
  <c r="K26" i="40"/>
  <c r="K27" i="40"/>
  <c r="K31" i="40"/>
  <c r="K32" i="40"/>
  <c r="K35" i="40"/>
  <c r="M28" i="37"/>
  <c r="N28" i="37" s="1"/>
  <c r="H30" i="37"/>
  <c r="J29" i="37"/>
  <c r="M21" i="37"/>
  <c r="N21" i="37" s="1"/>
  <c r="J25" i="37"/>
  <c r="J30" i="37"/>
  <c r="J24" i="37"/>
  <c r="J27" i="37"/>
  <c r="J26" i="37"/>
  <c r="H29" i="37"/>
  <c r="H26" i="37"/>
  <c r="H27" i="37"/>
  <c r="H31" i="37"/>
  <c r="H25" i="37"/>
  <c r="L21" i="37"/>
  <c r="H28" i="37"/>
  <c r="F32" i="12"/>
  <c r="F33" i="12"/>
  <c r="F37" i="12"/>
  <c r="F36" i="12"/>
  <c r="F23" i="12"/>
  <c r="F21" i="12"/>
  <c r="G8" i="27"/>
  <c r="I22" i="40"/>
  <c r="K22" i="40" s="1"/>
  <c r="I28" i="40"/>
  <c r="K28" i="40" s="1"/>
  <c r="I14" i="40"/>
  <c r="K14" i="40" s="1"/>
  <c r="I30" i="40"/>
  <c r="K30" i="40" s="1"/>
  <c r="I18" i="40"/>
  <c r="K18" i="40" s="1"/>
  <c r="E12" i="40"/>
  <c r="I20" i="40"/>
  <c r="K20" i="40" s="1"/>
  <c r="I24" i="40"/>
  <c r="K24" i="40" s="1"/>
  <c r="I34" i="40"/>
  <c r="K34" i="40" s="1"/>
  <c r="E16" i="40"/>
  <c r="E26" i="40"/>
  <c r="E32" i="40"/>
  <c r="F35" i="12"/>
  <c r="F34" i="12"/>
  <c r="D33" i="12"/>
  <c r="D35" i="12"/>
  <c r="D37" i="12"/>
  <c r="D32" i="12"/>
  <c r="D34" i="12"/>
  <c r="D36" i="12"/>
  <c r="F20" i="12"/>
  <c r="F24" i="12"/>
  <c r="D20" i="12"/>
  <c r="D22" i="12"/>
  <c r="D24" i="12"/>
  <c r="D21" i="12"/>
  <c r="H9" i="29"/>
  <c r="E9" i="29"/>
  <c r="H9" i="31"/>
  <c r="D9" i="31"/>
  <c r="D7" i="31" s="1"/>
  <c r="G34" i="27"/>
  <c r="D34" i="27"/>
  <c r="G25" i="27"/>
  <c r="D7" i="27"/>
  <c r="H9" i="6"/>
  <c r="H12" i="6"/>
  <c r="H14" i="6"/>
  <c r="H16" i="6"/>
  <c r="H13" i="6"/>
  <c r="H15" i="6"/>
  <c r="E11" i="40"/>
  <c r="K13" i="40"/>
  <c r="E15" i="40"/>
  <c r="I17" i="40"/>
  <c r="K17" i="40" s="1"/>
  <c r="E19" i="40"/>
  <c r="I21" i="40"/>
  <c r="K21" i="40" s="1"/>
  <c r="E23" i="40"/>
  <c r="I25" i="40"/>
  <c r="K25" i="40" s="1"/>
  <c r="E27" i="40"/>
  <c r="I29" i="40"/>
  <c r="K29" i="40" s="1"/>
  <c r="E31" i="40"/>
  <c r="I33" i="40"/>
  <c r="K33" i="40" s="1"/>
  <c r="E35" i="40"/>
  <c r="O8" i="2"/>
  <c r="O9" i="2"/>
  <c r="N9" i="2"/>
  <c r="N10" i="2"/>
  <c r="O10" i="2"/>
  <c r="O11" i="2"/>
  <c r="N11" i="2"/>
  <c r="N12" i="2"/>
  <c r="O12" i="2"/>
  <c r="O13" i="2"/>
  <c r="N13" i="2"/>
  <c r="N14" i="2"/>
  <c r="O14" i="2"/>
  <c r="O15" i="2"/>
  <c r="N15" i="2"/>
  <c r="O16" i="2"/>
  <c r="N16" i="2"/>
  <c r="N17" i="2"/>
  <c r="O17" i="2"/>
  <c r="N18" i="2"/>
  <c r="O18" i="2"/>
  <c r="O19" i="2"/>
  <c r="N19" i="2"/>
  <c r="N20" i="2"/>
  <c r="O20" i="2"/>
  <c r="O21" i="2"/>
  <c r="N21" i="2"/>
  <c r="O22" i="2"/>
  <c r="N22" i="2"/>
  <c r="O23" i="2"/>
  <c r="N23" i="2"/>
  <c r="O24" i="2"/>
  <c r="N24" i="2"/>
  <c r="O25" i="2"/>
  <c r="N25" i="2"/>
  <c r="O26" i="2"/>
  <c r="N26" i="2"/>
  <c r="N27" i="2"/>
  <c r="O27" i="2"/>
  <c r="O28" i="2"/>
  <c r="N28" i="2"/>
  <c r="N29" i="2"/>
  <c r="O29" i="2"/>
  <c r="O30" i="2"/>
  <c r="N30" i="2"/>
  <c r="O31" i="2"/>
  <c r="N31" i="2"/>
  <c r="N32" i="2"/>
  <c r="O32" i="2"/>
  <c r="J32" i="43"/>
  <c r="N32" i="43" s="1"/>
  <c r="R32" i="43" s="1"/>
  <c r="J27" i="43"/>
  <c r="N27" i="43" s="1"/>
  <c r="R27" i="43" s="1"/>
  <c r="O10" i="43"/>
  <c r="G9" i="43"/>
  <c r="I9" i="43"/>
  <c r="J11" i="43"/>
  <c r="N11" i="43" s="1"/>
  <c r="R11" i="43" s="1"/>
  <c r="J12" i="43"/>
  <c r="N12" i="43" s="1"/>
  <c r="R12" i="43" s="1"/>
  <c r="J15" i="43"/>
  <c r="N15" i="43" s="1"/>
  <c r="R15" i="43" s="1"/>
  <c r="J28" i="43"/>
  <c r="N28" i="43" s="1"/>
  <c r="R28" i="43" s="1"/>
  <c r="H9" i="43"/>
  <c r="J19" i="43"/>
  <c r="N19" i="43" s="1"/>
  <c r="R19" i="43" s="1"/>
  <c r="J20" i="43"/>
  <c r="N20" i="43" s="1"/>
  <c r="R20" i="43" s="1"/>
  <c r="J24" i="43"/>
  <c r="N24" i="43" s="1"/>
  <c r="R24" i="43" s="1"/>
  <c r="N31" i="43"/>
  <c r="R31" i="43" s="1"/>
  <c r="J16" i="43"/>
  <c r="N16" i="43" s="1"/>
  <c r="R16" i="43" s="1"/>
  <c r="J23" i="43"/>
  <c r="N23" i="43" s="1"/>
  <c r="R23" i="43" s="1"/>
  <c r="P14" i="43"/>
  <c r="L9" i="43"/>
  <c r="P9" i="43" s="1"/>
  <c r="M10" i="43"/>
  <c r="K17" i="43"/>
  <c r="O17" i="43" s="1"/>
  <c r="K25" i="43"/>
  <c r="O25" i="43" s="1"/>
  <c r="K33" i="43"/>
  <c r="O33" i="43" s="1"/>
  <c r="K13" i="43"/>
  <c r="O13" i="43" s="1"/>
  <c r="K21" i="43"/>
  <c r="O21" i="43" s="1"/>
  <c r="K29" i="43"/>
  <c r="O29" i="43" s="1"/>
  <c r="R10" i="43"/>
  <c r="J14" i="43"/>
  <c r="N14" i="43" s="1"/>
  <c r="R14" i="43" s="1"/>
  <c r="J18" i="43"/>
  <c r="N18" i="43" s="1"/>
  <c r="R18" i="43" s="1"/>
  <c r="J22" i="43"/>
  <c r="N22" i="43" s="1"/>
  <c r="R22" i="43" s="1"/>
  <c r="J26" i="43"/>
  <c r="N26" i="43" s="1"/>
  <c r="R26" i="43" s="1"/>
  <c r="J30" i="43"/>
  <c r="N30" i="43" s="1"/>
  <c r="R30" i="43" s="1"/>
  <c r="J34" i="43"/>
  <c r="N34" i="43" s="1"/>
  <c r="R34" i="43" s="1"/>
  <c r="J9" i="43" l="1"/>
  <c r="N9" i="43" s="1"/>
  <c r="R9" i="43" s="1"/>
  <c r="L18" i="32"/>
  <c r="K33" i="32"/>
  <c r="D5" i="12"/>
  <c r="W22" i="40"/>
  <c r="L21" i="32"/>
  <c r="O9" i="43"/>
  <c r="K26" i="32"/>
  <c r="K28" i="32"/>
  <c r="K19" i="32"/>
  <c r="K14" i="32"/>
  <c r="L35" i="32"/>
  <c r="L13" i="32"/>
  <c r="K17" i="32"/>
  <c r="L26" i="32"/>
  <c r="K35" i="32"/>
  <c r="L20" i="32"/>
  <c r="K25" i="32"/>
  <c r="L34" i="32"/>
  <c r="L23" i="32"/>
  <c r="K20" i="32"/>
  <c r="L29" i="32"/>
  <c r="K34" i="32"/>
  <c r="K27" i="32"/>
  <c r="K24" i="32"/>
  <c r="L17" i="32"/>
  <c r="L33" i="32"/>
  <c r="K21" i="32"/>
  <c r="L14" i="32"/>
  <c r="L30" i="32"/>
  <c r="K18" i="32"/>
  <c r="L19" i="32"/>
  <c r="K15" i="32"/>
  <c r="L28" i="32"/>
  <c r="K22" i="32"/>
  <c r="K32" i="32"/>
  <c r="L25" i="32"/>
  <c r="K13" i="32"/>
  <c r="K29" i="32"/>
  <c r="L22" i="32"/>
  <c r="K16" i="32"/>
  <c r="K30" i="32"/>
  <c r="L27" i="32"/>
  <c r="K36" i="32"/>
  <c r="L36" i="32"/>
  <c r="L15" i="32"/>
  <c r="L24" i="32"/>
  <c r="K12" i="32"/>
  <c r="L32" i="32"/>
  <c r="E11" i="42"/>
  <c r="D61" i="42"/>
  <c r="E59" i="42" s="1"/>
  <c r="E6" i="42"/>
  <c r="G19" i="41"/>
  <c r="K31" i="32"/>
  <c r="L31" i="32"/>
  <c r="K23" i="32"/>
  <c r="L16" i="32"/>
  <c r="F30" i="12"/>
  <c r="I10" i="40"/>
  <c r="V21" i="40" s="1"/>
  <c r="V23" i="40" s="1"/>
  <c r="E28" i="44"/>
  <c r="E37" i="44"/>
  <c r="E17" i="44"/>
  <c r="E43" i="44"/>
  <c r="E54" i="44"/>
  <c r="E10" i="44"/>
  <c r="E33" i="44"/>
  <c r="E47" i="44"/>
  <c r="E5" i="44"/>
  <c r="E23" i="44"/>
  <c r="E34" i="42"/>
  <c r="E55" i="42"/>
  <c r="E44" i="42"/>
  <c r="E38" i="42"/>
  <c r="E29" i="42"/>
  <c r="E18" i="42"/>
  <c r="E24" i="42"/>
  <c r="E48" i="42"/>
  <c r="H19" i="41"/>
  <c r="D30" i="12"/>
  <c r="D18" i="12"/>
  <c r="F18" i="12"/>
  <c r="G7" i="27"/>
  <c r="E10" i="40"/>
  <c r="M9" i="43"/>
  <c r="Q9" i="43" s="1"/>
  <c r="Q10" i="43"/>
  <c r="W21" i="40" l="1"/>
  <c r="W23" i="40" s="1"/>
  <c r="E59" i="44"/>
  <c r="E60" i="42"/>
  <c r="K10" i="40"/>
</calcChain>
</file>

<file path=xl/sharedStrings.xml><?xml version="1.0" encoding="utf-8"?>
<sst xmlns="http://schemas.openxmlformats.org/spreadsheetml/2006/main" count="1393" uniqueCount="577">
  <si>
    <t>osoby poprzednio pracujące</t>
  </si>
  <si>
    <t>w tym:</t>
  </si>
  <si>
    <t>osoby dotychczas nie pracujące</t>
  </si>
  <si>
    <t>Wyszczególnienie</t>
  </si>
  <si>
    <t>ogółem</t>
  </si>
  <si>
    <t>kobiety</t>
  </si>
  <si>
    <t>mężczyźni</t>
  </si>
  <si>
    <t>wyzsze</t>
  </si>
  <si>
    <t>policealne i średnie zawodowe</t>
  </si>
  <si>
    <t>średnie ogólnokształcace</t>
  </si>
  <si>
    <t>zasadnicze-zawodowe</t>
  </si>
  <si>
    <t>zasiłki dla bezrobotnych</t>
  </si>
  <si>
    <t>inne</t>
  </si>
  <si>
    <t>Powiaty</t>
  </si>
  <si>
    <t>województwo</t>
  </si>
  <si>
    <t>bieszczadzki</t>
  </si>
  <si>
    <t>brzozowski</t>
  </si>
  <si>
    <t>dębicki</t>
  </si>
  <si>
    <t>jarosławski</t>
  </si>
  <si>
    <t>jasielski</t>
  </si>
  <si>
    <t>kolbuszowski</t>
  </si>
  <si>
    <t>krośnieński</t>
  </si>
  <si>
    <t>leski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</si>
  <si>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</si>
  <si>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</si>
  <si>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</si>
  <si>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</si>
  <si>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</si>
  <si>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</si>
  <si>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</si>
  <si>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ropczycko-sędziszowski</t>
  </si>
  <si>
    <t>rzeszowski</t>
  </si>
  <si>
    <t>sanocki</t>
  </si>
  <si>
    <t>stalowowolski</t>
  </si>
  <si>
    <t>strzyżowski</t>
  </si>
  <si>
    <t>tarnobrzeski</t>
  </si>
  <si>
    <t>Krosno</t>
  </si>
  <si>
    <t>Przemyśl</t>
  </si>
  <si>
    <t>Rzeszów</t>
  </si>
  <si>
    <t>Tarnobrzeg</t>
  </si>
  <si>
    <t>przy pracach interwencyjnych</t>
  </si>
  <si>
    <t>przy robotach publicznych</t>
  </si>
  <si>
    <t>bezrobotni skierowani na staż</t>
  </si>
  <si>
    <t>osoby zatrudnione</t>
  </si>
  <si>
    <t>bezrobotni, którzy rozpoczęli prace społecznie użyteczne</t>
  </si>
  <si>
    <t>bezrobotni, którzy podjęli działalność gospodarczą</t>
  </si>
  <si>
    <t>Razem</t>
  </si>
  <si>
    <t>pracy subsydiowanej</t>
  </si>
  <si>
    <t>z sektora publicznego</t>
  </si>
  <si>
    <t>w tym</t>
  </si>
  <si>
    <t>Ogółem</t>
  </si>
  <si>
    <t>18-24</t>
  </si>
  <si>
    <t>25-34</t>
  </si>
  <si>
    <t>35-44</t>
  </si>
  <si>
    <t>45-54</t>
  </si>
  <si>
    <t>55-59</t>
  </si>
  <si>
    <t>do 1 roku</t>
  </si>
  <si>
    <t>bez stażu pracy</t>
  </si>
  <si>
    <t>30 lat i więcej</t>
  </si>
  <si>
    <t>w liczbach bezwzgędnych</t>
  </si>
  <si>
    <t>z tego w przedziałach wieku</t>
  </si>
  <si>
    <t>60 lat i więcej</t>
  </si>
  <si>
    <t>z tego z wykształceniem</t>
  </si>
  <si>
    <t>wyższym</t>
  </si>
  <si>
    <t>policealnym i średnim zawodowym</t>
  </si>
  <si>
    <t>średnim ogólnokształcącym</t>
  </si>
  <si>
    <t>zasadniczym zawodowym</t>
  </si>
  <si>
    <t>gimnazjalnym i poniżej</t>
  </si>
  <si>
    <t>od 1 do 5 lat</t>
  </si>
  <si>
    <t>od 5 do 10 lat</t>
  </si>
  <si>
    <t>od 10 do 20 lat</t>
  </si>
  <si>
    <t>od 20 do 30 lat</t>
  </si>
  <si>
    <t>w tym osoby, które podjęły pracę</t>
  </si>
  <si>
    <t>- po raz pierwszy</t>
  </si>
  <si>
    <t>- po raz kolejny  (od 1990 r.)</t>
  </si>
  <si>
    <t>- po pracach interwencyjnych</t>
  </si>
  <si>
    <t>- po robotach publicznych</t>
  </si>
  <si>
    <t>- po stażu</t>
  </si>
  <si>
    <t>- po szkoleniu</t>
  </si>
  <si>
    <t>- podjęcia pracy w ramach refundacji kosztów zatrudnienia bezrobotnego</t>
  </si>
  <si>
    <t>- rozpoczęcia szkolenia</t>
  </si>
  <si>
    <t>- rozpoczęcia stażu</t>
  </si>
  <si>
    <t>- rozpoczęcia przygotowania zawodowego dorosłych</t>
  </si>
  <si>
    <t>- rozpoczęcia pracy społecznie użytecznej</t>
  </si>
  <si>
    <t>- nabycia praw emerytalnych lub rentowych</t>
  </si>
  <si>
    <t>- nabycia uprawnień do świadczenia przedemerytalnego</t>
  </si>
  <si>
    <t>- po odbyciu przygotowania zawodowego dorosłych</t>
  </si>
  <si>
    <t>- podjęcia pracy poza miejscem zamieszkania w ramach bonu na zasiedlenie</t>
  </si>
  <si>
    <t>- skierowania do agencji zatrudnienia w ramach zlecania działań aktywizacyjnych</t>
  </si>
  <si>
    <t>- dobrowolnej rezygnacji ze statusu bezrobotnego</t>
  </si>
  <si>
    <t>- podjęcia nauki</t>
  </si>
  <si>
    <t>- osiągnięcia wieku emerytalnego</t>
  </si>
  <si>
    <t>- innych</t>
  </si>
  <si>
    <t>---</t>
  </si>
  <si>
    <t>w tym kobiety</t>
  </si>
  <si>
    <t>od 31 do 50 roku życia</t>
  </si>
  <si>
    <t>10</t>
  </si>
  <si>
    <t>11</t>
  </si>
  <si>
    <t>12</t>
  </si>
  <si>
    <t>13</t>
  </si>
  <si>
    <t>14</t>
  </si>
  <si>
    <t>15</t>
  </si>
  <si>
    <t>wzrost-spadek*</t>
  </si>
  <si>
    <t>kategorie</t>
  </si>
  <si>
    <t>w tym osoby zwolnione z przyczyn dotyczących zakładu pracy</t>
  </si>
  <si>
    <t>w liczbach</t>
  </si>
  <si>
    <t>bezrobotni ogółem</t>
  </si>
  <si>
    <t>liczba</t>
  </si>
  <si>
    <t>powiaty</t>
  </si>
  <si>
    <t>wzrost/spadek</t>
  </si>
  <si>
    <t>LICZBA BEZROBOTNYCH</t>
  </si>
  <si>
    <t>STOPA BEZROBOCIA</t>
  </si>
  <si>
    <t>wzrost/spadek (liczba)</t>
  </si>
  <si>
    <t>*Bank Danych Loklanych www.stat.gov.pl</t>
  </si>
  <si>
    <t>nowo zarejestrowani bezrobotni "napływ"</t>
  </si>
  <si>
    <t xml:space="preserve">  z tego rejestrujący się:</t>
  </si>
  <si>
    <t xml:space="preserve">   w tym powracający do rejestracji:</t>
  </si>
  <si>
    <t>- po pracach społecznie użytecznych</t>
  </si>
  <si>
    <t>"napływ" bezrobotnych</t>
  </si>
  <si>
    <t>bezrobotni wyłączeni z rejestru "odpływ" (ogółem)</t>
  </si>
  <si>
    <t>wyłączeni z rejestru z utratą statusu bezrobotnych</t>
  </si>
  <si>
    <t>z powodu podjęcia pracy</t>
  </si>
  <si>
    <t>- pracy niesubsydiowanej</t>
  </si>
  <si>
    <t>- pracy subsydiowanej:</t>
  </si>
  <si>
    <t xml:space="preserve">   pracy subsydiowanej z tytułu:</t>
  </si>
  <si>
    <t>-  prac interwencyjnych</t>
  </si>
  <si>
    <t>-  robót publicznych</t>
  </si>
  <si>
    <t>-  otrzymania dotacji na uruchomienie działalności gospodarczej</t>
  </si>
  <si>
    <t>w tym bonu na zasiedlenie</t>
  </si>
  <si>
    <t>- podjęcia pracy w ramach bonu zatrudnieniowego</t>
  </si>
  <si>
    <t>- podjęcia pracy w ramach świadczenia aktywizacyjnego</t>
  </si>
  <si>
    <t>- podjęcia pracy w ramach grantu na telepracę</t>
  </si>
  <si>
    <t>- podjęcia pracy w ramach refundacji składek na ubezpieczenia społeczne</t>
  </si>
  <si>
    <t>- podjęcia pracy w ramach dofinansowania wynagrodzenia za zatrudnienie skierowanego bezrobotnego powyżej 50 roku życia</t>
  </si>
  <si>
    <t xml:space="preserve"> z innego powodu niż podjęcie pracy</t>
  </si>
  <si>
    <t>- odmowy bez uzasadnionej przyczyny przyjęcia propozycji odpowiedniej pracy lub innej formy pomocy, w tym w ramach Programu Aktywizacja i Integracja</t>
  </si>
  <si>
    <t>- nie potwierdzenia gotowości do pracy</t>
  </si>
  <si>
    <t>w tym w ramach bonu szkoleniowego</t>
  </si>
  <si>
    <t>w tym w ramach bonu stażowego</t>
  </si>
  <si>
    <t>w tym w ramach Programu Aktywizacja i Integracja</t>
  </si>
  <si>
    <t xml:space="preserve"> - inne (podjęcia pracy subsydiowanej)</t>
  </si>
  <si>
    <t>Kategorie</t>
  </si>
  <si>
    <t>z ogółu bezrobotnych, którzy podjęli pracę</t>
  </si>
  <si>
    <t>poprzednio pracujący (ogółem)</t>
  </si>
  <si>
    <t>w tym zwolnieni z przyczyn dotyczących zakładu pracy</t>
  </si>
  <si>
    <t>poprzednio pracujący</t>
  </si>
  <si>
    <t>"odpływ" bezrobotnych, w tym osoby, które podjęły pracę</t>
  </si>
  <si>
    <t>wyszczególnienie</t>
  </si>
  <si>
    <t>bezrobotni posiadający prawo do zasiłku w podziale na powiaty</t>
  </si>
  <si>
    <t>wzrost/spadek
(liczba)</t>
  </si>
  <si>
    <t xml:space="preserve">                Stan w końcu okresu</t>
  </si>
  <si>
    <t>z tego wg stażu:</t>
  </si>
  <si>
    <t>w tym bezrobotni posiadający gospodarstwo rolne</t>
  </si>
  <si>
    <t>wzrost/spadek liczba</t>
  </si>
  <si>
    <t>Bezrobotni zamieszkali na wsi w podziale na powiaty</t>
  </si>
  <si>
    <t>bezrobotni długotrwale*</t>
  </si>
  <si>
    <t>do 30 roku życia*</t>
  </si>
  <si>
    <t>powyżej 50 roku życia**</t>
  </si>
  <si>
    <t>* Bezrobotny do 30 roku życia – do dnia zastosowania wobec niego usług lub instrumentów rynku pracy nie ukończył 30 roku życia.</t>
  </si>
  <si>
    <t>** Bezrobotny powyżej 50 roku życia – w dniu zastosowania wobec niego usług lub instrumentów rynku pracy ukończył co najmniej 50 rok życia.</t>
  </si>
  <si>
    <t>grupy zawodów</t>
  </si>
  <si>
    <t>A</t>
  </si>
  <si>
    <t>B</t>
  </si>
  <si>
    <t>AB</t>
  </si>
  <si>
    <t>razem</t>
  </si>
  <si>
    <t>w mln zł</t>
  </si>
  <si>
    <t>* Kategoria ta zawiera koszty należne instytucjom szkoleniowym, koszty egzaminów, licencji bez stypendiów i składek na ubezpieczenie społeczne.</t>
  </si>
  <si>
    <t>PRZEDSTAWICIELE WŁADZ PUBLICZNYCH, WYŻSI URZĘDNICY I KIEROWNICY</t>
  </si>
  <si>
    <t>SPECJALIŚCI</t>
  </si>
  <si>
    <t>TECHNICY I INNY ŚREDNI PERSONEL</t>
  </si>
  <si>
    <t>PRACOWNICY BIUROWI</t>
  </si>
  <si>
    <t>PRACOWNICY USŁUG I SPRZEDAWCY</t>
  </si>
  <si>
    <t>ROLNICY, OGRODNICY, LEŚNICY I RYBACY</t>
  </si>
  <si>
    <t>ROBOTNICY PRZEMYSŁOWI I RZEMIEŚLNICY</t>
  </si>
  <si>
    <t>OPERATORZY I MONTERZY MASZYN I URZĄDZEŃ</t>
  </si>
  <si>
    <t>PRACOWNICY WYKONUJĄCY PRACE PROSTE</t>
  </si>
  <si>
    <t>bezrobotni bez zawodu</t>
  </si>
  <si>
    <t>bezrobotni z zawodem</t>
  </si>
  <si>
    <t>kody zawodów (wg KZiS)</t>
  </si>
  <si>
    <t>Kierownicy do spraw zarządzania i handlu</t>
  </si>
  <si>
    <t>Kierownicy do spraw produkcji i usług</t>
  </si>
  <si>
    <t>Kierownicy w branży hotelarskiej, handlu i innych branżach usługowych</t>
  </si>
  <si>
    <t>SIŁY ZBROJNE</t>
  </si>
  <si>
    <t>BEZROBOTNI Z ZAWODEM</t>
  </si>
  <si>
    <t>Specjaliści nauk fizycznych, matematycznych i technicznych</t>
  </si>
  <si>
    <t>Specjaliści do spraw zdrowia</t>
  </si>
  <si>
    <t>Specjaliści nauczania i wychowania</t>
  </si>
  <si>
    <t>Specjaliści do spraw ekonomicznych i zarządzania</t>
  </si>
  <si>
    <t>Specjaliści do spraw technologii informacyjno-komunikacyjnych</t>
  </si>
  <si>
    <t>Specjaliści z dziedziny prawa, dziedzin społecznych i kultury</t>
  </si>
  <si>
    <t>Średni personel nauk fizycznych, chemicznych i technicznych</t>
  </si>
  <si>
    <t>Średni personel do spraw zdrowia</t>
  </si>
  <si>
    <t>Średni personel do spraw biznesu i administracji</t>
  </si>
  <si>
    <t>Średni personel z dziedziny prawa, spraw społecznych, kultury i pokrewny</t>
  </si>
  <si>
    <t>Technicy informatycy</t>
  </si>
  <si>
    <t>Sekretarki, operatorzy urządzeń biurowych i pokrewni</t>
  </si>
  <si>
    <t>Pracownicy obsługi klienta</t>
  </si>
  <si>
    <t>Pracownicy do spraw finansowo-statystycznych i ewidencji materiałowej</t>
  </si>
  <si>
    <t>Pozostali pracownicy obsługi biura</t>
  </si>
  <si>
    <t>Pracownicy usług osobistych</t>
  </si>
  <si>
    <t>Sprzedawcy i pokrewni</t>
  </si>
  <si>
    <t>Pracownicy opieki osobistej i pokrewni</t>
  </si>
  <si>
    <t>Pracownicy usług ochrony</t>
  </si>
  <si>
    <t>Rolnicy produkcji towarowej</t>
  </si>
  <si>
    <t>Leśnicy i rybacy</t>
  </si>
  <si>
    <t>Rolnicy i rybacy pracujący na własne potrzeby</t>
  </si>
  <si>
    <t>Robotnicy budowlani i pokrewni (z wyłączeniem elektryków)</t>
  </si>
  <si>
    <t>Robotnicy obróbki metali, mechanicy maszyn i urządzeń i pokrewni</t>
  </si>
  <si>
    <t>Rzemieślnicy i robotnicy poligraficzni</t>
  </si>
  <si>
    <t>Elektrycy i elektronicy</t>
  </si>
  <si>
    <t>Robotnicy w przetwórstwie spożywczym, obróbce drewna, produkcji wyrobów tekstylnych i pokrewni</t>
  </si>
  <si>
    <t>Operatorzy maszyn i urządzeń wydobywczych i przetwórczych</t>
  </si>
  <si>
    <t>Monterzy</t>
  </si>
  <si>
    <t>Kierowcy i operatorzy pojazdów</t>
  </si>
  <si>
    <t>Pomoce domowe i sprzątaczki</t>
  </si>
  <si>
    <t>Robotnicy wykonujący prace proste w rolnictwie, leśnictwie, leśnictwie i rybactwie</t>
  </si>
  <si>
    <t>Robotnicy wykonujący prace proste w górnictwie, przemyśle, budownictwie i transporcie</t>
  </si>
  <si>
    <t>Pracownicy wykonujący prace proste związane z przygotowywaniem posiłków</t>
  </si>
  <si>
    <t>Sprzedawcy uliczni i pracownicy świadczący usługi na ulicach</t>
  </si>
  <si>
    <t>Ładowacze nieczystości i inni pracownicy wykonujący prace proste</t>
  </si>
  <si>
    <t>Oficerowie sił zbrojnych</t>
  </si>
  <si>
    <t>Podoficerowie sił zbrojnych</t>
  </si>
  <si>
    <t>Żołnierze szeregowi</t>
  </si>
  <si>
    <t>PRZEDSTAWICIELE WŁADZ PUBLICZNYCH, WYŻSI URZĘDNICY I KIEROWNICY*</t>
  </si>
  <si>
    <t>Przedstawiciele władz publicznych, wyżsi urzędnicy i dyrektorzy generalni**</t>
  </si>
  <si>
    <t>BEZROBOTNI BEZ ZAWODU***</t>
  </si>
  <si>
    <t>OFERTY BEZ ZAWODU***</t>
  </si>
  <si>
    <t>OFERTY Z ZAWODEM</t>
  </si>
  <si>
    <t>bezrobotni w szczególnej sytuacji na rynku pracy</t>
  </si>
  <si>
    <t>do 25 roku życia</t>
  </si>
  <si>
    <t xml:space="preserve">   do 30 roku życia</t>
  </si>
  <si>
    <t xml:space="preserve">   długotrwale bezrobotni</t>
  </si>
  <si>
    <t xml:space="preserve">   powyżej 50 roku życia</t>
  </si>
  <si>
    <t xml:space="preserve">   korzystający ze świadczeń pomocy społecznej</t>
  </si>
  <si>
    <t xml:space="preserve">   posiadający co najmniej jedno dziecko do 6 roku życia</t>
  </si>
  <si>
    <t xml:space="preserve">   posiadający co najmniej jedno dziecko niepełnosprawne do 18 roku życia</t>
  </si>
  <si>
    <t xml:space="preserve">  niepełnosprawni</t>
  </si>
  <si>
    <t>bezrobotni wg wieku</t>
  </si>
  <si>
    <t xml:space="preserve">*Bezrobotny długotrwale – pozostający w rejestrze powiatowego urzędu pracy łącznie przez okres ponad 12 miesięcy </t>
  </si>
  <si>
    <t xml:space="preserve">ogółem </t>
  </si>
  <si>
    <t xml:space="preserve">                                                  w okresie ostatnich 2 lat, z wyłączeniem okresów odbywania stażu</t>
  </si>
  <si>
    <t xml:space="preserve">                                                  i przygotowania zawodowego dorosłych.</t>
  </si>
  <si>
    <t>Pracownicy (ogółem)</t>
  </si>
  <si>
    <t xml:space="preserve"> z zakładów sektora prywatnego</t>
  </si>
  <si>
    <t>z zakładów  sektora publicznego</t>
  </si>
  <si>
    <t xml:space="preserve"> z aktywnych form:</t>
  </si>
  <si>
    <t>Tabela II.     BEZROBOTNI W PUP ORAZ STOPA BEZROBOCIA WG POWIATÓW</t>
  </si>
  <si>
    <t>Tabela IX. BEZROBOTNI WEDŁUG WIEKU</t>
  </si>
  <si>
    <t>Tabela X. BEZROBOTNI WEDŁUG WYKSZTAŁCENIA</t>
  </si>
  <si>
    <t>Tabela XI. BEZROBOTNI WEDŁUG STAŻU PRACY</t>
  </si>
  <si>
    <t xml:space="preserve">                       PRZEZ PRACODAWCÓW DO PUP </t>
  </si>
  <si>
    <t xml:space="preserve">                 Stan w końcu okresu</t>
  </si>
  <si>
    <t>Tabela VIII.    BEZROBOTNI POSIADAJĄCY PRAWO DO ZASIŁKU</t>
  </si>
  <si>
    <t>Tabela VII.   "ODPŁYW" BEZROBOTNYCH W POWIATACH</t>
  </si>
  <si>
    <t>Tabela VI.   BEZROBOTNI, KTÓRZY PODJĘLI PRACĘ</t>
  </si>
  <si>
    <t xml:space="preserve">Tabela V.  BEZROBOTNI WYŁĄCZENI Z REJESTRU "ODPŁYW" </t>
  </si>
  <si>
    <t>Tabela IV.   "NAPŁYW" BEZROBOTNYCH W POWIATACH</t>
  </si>
  <si>
    <t>Tabela III.   BEZROBOTNI ZAREJESTROWANI "NAPŁYW"</t>
  </si>
  <si>
    <t>Tabela I.     STAN I STRUKTURA OSÓB BEZROBOTNYCH ZAREJESTROWANYCH W PUP</t>
  </si>
  <si>
    <t xml:space="preserve">                  Stan w końcu okresu, województwo podkarpackie</t>
  </si>
  <si>
    <t>** Kategoria ta zawiera stypendia dla uczestników i składki na ubezpieczenie społeczne za okres stażu, przygotowania zawodowego dorosłych</t>
  </si>
  <si>
    <t xml:space="preserve">      realizacji studiów podyplomowych i szkolenia oraz stypendia i składki na ubezpieczenia społeczne za okres kontynuowania nauki. </t>
  </si>
  <si>
    <t>wzrost/spadek ogółem</t>
  </si>
  <si>
    <t>16</t>
  </si>
  <si>
    <t>zgłoszenia</t>
  </si>
  <si>
    <t>zwolnienia</t>
  </si>
  <si>
    <t>Ip '18</t>
  </si>
  <si>
    <t xml:space="preserve">                      Stan w końcu okresu, województwo podkarpackie</t>
  </si>
  <si>
    <t>ROK</t>
  </si>
  <si>
    <t>17</t>
  </si>
  <si>
    <t>I półrocze</t>
  </si>
  <si>
    <t>m. Krosno</t>
  </si>
  <si>
    <t>m. Przemyśl</t>
  </si>
  <si>
    <t>m. Rzeszów</t>
  </si>
  <si>
    <t>m. Tarnobrzeg</t>
  </si>
  <si>
    <t>Rolnictwo, leśnictwo, łowiectwo i rybactwo</t>
  </si>
  <si>
    <t>Górnictwo i wydobywanie</t>
  </si>
  <si>
    <t>Przetwórstwo przemysłowe</t>
  </si>
  <si>
    <t>Wytwarzanie i zaopatrywanie w energię elektryczną, gaz, parę wodną, gorącą wodę i powietrze do układów klimatyzacyjnych</t>
  </si>
  <si>
    <t>Dostawa wody, gospodarowanie ściekami i odpadami oraz działalność związana z rekultywacją</t>
  </si>
  <si>
    <t>Budownictwo</t>
  </si>
  <si>
    <t>Handel hurtowy i detaliczny; naprawa pojazdów samochodowych, włączając motocykle</t>
  </si>
  <si>
    <t>Działalność związana z zakwaterowaniem i usługami gastronomicznymi</t>
  </si>
  <si>
    <t>Transport i gospodarka magazynowa</t>
  </si>
  <si>
    <t>Informacja i komunikacja</t>
  </si>
  <si>
    <t>Działalność związana z obsługą rynku nieruchomości</t>
  </si>
  <si>
    <t>Działalność profesjonalna, naukowa i techniczna</t>
  </si>
  <si>
    <t>Działalność w zakresie usług administrowania i działalność wspierająca</t>
  </si>
  <si>
    <t>Administracja publiczna i obrona narodowa; obowiązkowe zabezpieczenia społeczne</t>
  </si>
  <si>
    <t>Edukacja</t>
  </si>
  <si>
    <t>Opieka zdrowotna i pomoc społeczna</t>
  </si>
  <si>
    <t>Działalność związana z kulturą, rozrywką i rekreacją</t>
  </si>
  <si>
    <t>Pozostała działalność usługowa</t>
  </si>
  <si>
    <t>Gospodarstwa domowe zatrudniające pracowników; gospodarstwa domowe produkujące wyroby i świadczące usługi na własne potrzeby</t>
  </si>
  <si>
    <t>Działalność niezidentyfikowana</t>
  </si>
  <si>
    <t>O</t>
  </si>
  <si>
    <t xml:space="preserve">z ogółem sekcje PKD: </t>
  </si>
  <si>
    <t>Działalność finansowa i ubezpieczeniowa</t>
  </si>
  <si>
    <t>wzrost/spadek w proc.</t>
  </si>
  <si>
    <t>dynamika</t>
  </si>
  <si>
    <t>II p subsydia</t>
  </si>
  <si>
    <t>średnia liczba osób bezrobotnych na 1 ofertę pracy w roku</t>
  </si>
  <si>
    <t>średnia liczba osób bezrobotnych na 1 ofertę pracy w półroczu</t>
  </si>
  <si>
    <t>Aktywne formy promocji zatrudnienia zawierają również pozostałe aktywne formy.</t>
  </si>
  <si>
    <t>Ip '19</t>
  </si>
  <si>
    <t>18</t>
  </si>
  <si>
    <t>bezrobotni (ogółem)</t>
  </si>
  <si>
    <t>posiadający prawo do zasiłku ogółem - województwo</t>
  </si>
  <si>
    <t>Ip '07</t>
  </si>
  <si>
    <t>Ip '08</t>
  </si>
  <si>
    <t>Ip '09</t>
  </si>
  <si>
    <t>Ip '10</t>
  </si>
  <si>
    <t>Ip '11</t>
  </si>
  <si>
    <t>Ip '12</t>
  </si>
  <si>
    <t>Ip '13</t>
  </si>
  <si>
    <t>Ip '14</t>
  </si>
  <si>
    <t>Ip '15</t>
  </si>
  <si>
    <t>Ip '16</t>
  </si>
  <si>
    <t>Ip '17</t>
  </si>
  <si>
    <t>I półrocza</t>
  </si>
  <si>
    <t>rok</t>
  </si>
  <si>
    <t>oferty og. w roku</t>
  </si>
  <si>
    <t>w tym subs. w roku</t>
  </si>
  <si>
    <t xml:space="preserve">                  w okresach sprawozdawczych, województwo podkarpackie</t>
  </si>
  <si>
    <t xml:space="preserve">                    w okresach sprawozdawczych, województwo podkarpackie</t>
  </si>
  <si>
    <t xml:space="preserve">                w okresie sprawozdawczym, województwo podkarpackie</t>
  </si>
  <si>
    <t xml:space="preserve">                   w okresie sprawozdawczym, województwo podkarpackie</t>
  </si>
  <si>
    <t xml:space="preserve">                     w okresie sprawozdawczym, województwo podkarpackie</t>
  </si>
  <si>
    <t xml:space="preserve">                     Stan w końcu okresu, województwo podkarpackie</t>
  </si>
  <si>
    <t xml:space="preserve">                   stan w końcu okresu, województwo podkarpackie</t>
  </si>
  <si>
    <t xml:space="preserve">                     stan w końcu okresu, województwo podkarpackie</t>
  </si>
  <si>
    <t xml:space="preserve">                  stan w końcu okresu, województwo podkarpackie</t>
  </si>
  <si>
    <t xml:space="preserve">                       w okresie sprawozdawczym, województwo podkarpackie</t>
  </si>
  <si>
    <t xml:space="preserve">                         w okresie sprawozdawczym, województwo podkarpackie</t>
  </si>
  <si>
    <t xml:space="preserve">                         przez pracodawców do PUP,</t>
  </si>
  <si>
    <t xml:space="preserve">                           w okresie sprawozdawczym, województwo podkarpackie</t>
  </si>
  <si>
    <t xml:space="preserve">                           w okresie sprawozdawczym</t>
  </si>
  <si>
    <t>lokata max</t>
  </si>
  <si>
    <t>lokata min</t>
  </si>
  <si>
    <t>lokata max sp.</t>
  </si>
  <si>
    <t>lokata min sp.</t>
  </si>
  <si>
    <t>do 30</t>
  </si>
  <si>
    <t>31-50</t>
  </si>
  <si>
    <t>pow.50</t>
  </si>
  <si>
    <t xml:space="preserve">wzrost/spadek </t>
  </si>
  <si>
    <t>(w proc.)</t>
  </si>
  <si>
    <t>do 30 roku życia</t>
  </si>
  <si>
    <t>do 50 roku życia</t>
  </si>
  <si>
    <t xml:space="preserve">                          I MIEJSC AKTYWIZACJI ZAWODOWEJ ZGŁOSZONYCH PRZEZ PRACODAWCÓW DO PUP</t>
  </si>
  <si>
    <t>spadek wynikający z konieczności wypłaty zasiłków</t>
  </si>
  <si>
    <t>1999=100%</t>
  </si>
  <si>
    <t>1999 r. dot. pracy stałej</t>
  </si>
  <si>
    <t>Zwyżki</t>
  </si>
  <si>
    <t>2014-2017</t>
  </si>
  <si>
    <t>subsydia w Ip. danego roku</t>
  </si>
  <si>
    <t>oferty og. w Ip. danego roku</t>
  </si>
  <si>
    <t>----</t>
  </si>
  <si>
    <t>**** Środki wydatkowane przez Powiatowe Urzędy Pracy w województwie podkarpackim, w ramach ustawy o szczególnych rozwiązaniach</t>
  </si>
  <si>
    <t>działań FGŚP w województwie podkarpackim.</t>
  </si>
  <si>
    <t>*** Kategoria ta od 2016 r. zawiera refundację wynagrodzeń osobom w wieku do 30 roku życia.</t>
  </si>
  <si>
    <t>19</t>
  </si>
  <si>
    <t>IP '20</t>
  </si>
  <si>
    <r>
      <t xml:space="preserve">                      </t>
    </r>
    <r>
      <rPr>
        <u/>
        <sz val="11"/>
        <color theme="1"/>
        <rFont val="Times New Roman"/>
        <family val="1"/>
        <charset val="238"/>
      </rPr>
      <t>Stan w końcu okresu</t>
    </r>
    <r>
      <rPr>
        <sz val="11"/>
        <color theme="1"/>
        <rFont val="Times New Roman"/>
        <family val="1"/>
        <charset val="238"/>
      </rPr>
      <t>, województwo podkarpackie</t>
    </r>
  </si>
  <si>
    <t>podjęcia pracy w ramach refundacji kosztów utworzenia stanowiska pracy</t>
  </si>
  <si>
    <t xml:space="preserve">                   stan w końcu okresu, województwo podkarpackie  c.d.</t>
  </si>
  <si>
    <t>Stan w końcu okresu, porównanie zmian w półroczu</t>
  </si>
  <si>
    <t>Stan w końcu okresu, porównanie stanów - czerwiec do czerwca</t>
  </si>
  <si>
    <t>20</t>
  </si>
  <si>
    <t>W niektórych okresach następuje kontynuacja zwolnień zgłoszonych z roku poprzedniego.</t>
  </si>
  <si>
    <t>IP '21</t>
  </si>
  <si>
    <t>proc. do ogółem</t>
  </si>
  <si>
    <t>Tabela XII.    BEZROBOTNI ZAMIESZKALI NA WSI</t>
  </si>
  <si>
    <t>Tabela XIII. BEZROBOTNI W SZCZEGÓLNEJ SYTUACJI NA RYNKU PRACY</t>
  </si>
  <si>
    <t>Tabela XIV. BEZROBOTNI WG WIEKU, W TYM DO 30 ROKU ŻYCIA I POWYŻEJ 50 ROKU ŻYCIA</t>
  </si>
  <si>
    <t>Tabela XV. BEZROBOTNI DO 30 ROKU ŻYCIA I POWYŻEJ 50 ROKU ŻYCIA</t>
  </si>
  <si>
    <t>Tabela XVI. BEZROBOTNI DŁUGOTRWALE</t>
  </si>
  <si>
    <t>c.d. Tabela XVI. BEZROBOTNI DŁUGOTRWALE</t>
  </si>
  <si>
    <t>Tabela XV. BEZROBOTNI DO 30 ROKU ŻYCIA I POWYŻEJ 50 ROKU ŻYCIA  c.d.</t>
  </si>
  <si>
    <t>Tabela XIX.   BEROBOTNI WG GRUP ZAWODÓW</t>
  </si>
  <si>
    <t>Tabela XX.  Wolne miejsca pracy i miejsca aktywizacji zawodowej zgłoszone</t>
  </si>
  <si>
    <t>Tabela XXI.   ZMIANY W LICZBIE WOLNYCH MIEJSC PRACY</t>
  </si>
  <si>
    <t xml:space="preserve">Tabela XXII.  WOLNE MIEJSCA PRACY I MIEJSCA AKTYWIZACJI ZAWODOWEJ  ZGŁOSZONE </t>
  </si>
  <si>
    <t>Tabela XXIV   Aktywne formy promocji zatrudnienia wg powiatów. Liczba bezrobotnych aktywizowanych w ramach poszczególnych form,</t>
  </si>
  <si>
    <t>Tabela XXV.  ZGŁOSZENIA ZWOLNIEŃ Z PRZYCZYN NIEDOTYCZĄCYCH PRACOWNIKÓW</t>
  </si>
  <si>
    <t>18-44</t>
  </si>
  <si>
    <t>45-60</t>
  </si>
  <si>
    <t xml:space="preserve">                          POLSKIEJ KLASYFIKACJI DZIAŁALNOŚCI (PKD)</t>
  </si>
  <si>
    <t xml:space="preserve">Tabela XVII.    OFERTY  PRACY   WEDŁUG </t>
  </si>
  <si>
    <t>oferty pracy</t>
  </si>
  <si>
    <t>Oferty pracy zgłoszone do powiatowych urzędów pracy w województwie podkarpackim.</t>
  </si>
  <si>
    <t>sekcje PKD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</si>
  <si>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</si>
  <si>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</si>
  <si>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</si>
  <si>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</si>
  <si>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</si>
  <si>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</si>
  <si>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</si>
  <si>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</si>
  <si>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</si>
  <si>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</si>
  <si>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</si>
  <si>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</si>
  <si>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</si>
  <si>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</si>
  <si>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</si>
  <si>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</si>
  <si>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</si>
  <si>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</si>
  <si>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B-F</t>
  </si>
  <si>
    <t>H-U</t>
  </si>
  <si>
    <t xml:space="preserve">                          w okresie sprawozdawczym, województwo podkarpackie</t>
  </si>
  <si>
    <t>30 VI 2022</t>
  </si>
  <si>
    <t>30 VI '22</t>
  </si>
  <si>
    <t>w proc.</t>
  </si>
  <si>
    <t xml:space="preserve">                      Stan w końcu okresu</t>
  </si>
  <si>
    <t>w tym osoby posiadające obywatelstwo ukraińskie *</t>
  </si>
  <si>
    <t>osoby posiadające obywatelestwo ukraińskie zarejestrowane jako poszukujący pracy *</t>
  </si>
  <si>
    <t>I półrocze 2022</t>
  </si>
  <si>
    <t>Ip 2022</t>
  </si>
  <si>
    <t>I p 2022</t>
  </si>
  <si>
    <t>**Bezrobotny powyżej 50 roku życia – w dniu zastosowania wobec niego usług lub instrumentów rynku pracy ukończył co najmniej 50 rok życia.</t>
  </si>
  <si>
    <t>dynamika spadków do 31 XII 2021 w poszcz. grupach</t>
  </si>
  <si>
    <t>wzrost / spadek (liczba)</t>
  </si>
  <si>
    <t>wzrost / spadek w proc.</t>
  </si>
  <si>
    <t>w proc. *</t>
  </si>
  <si>
    <t>w proc.*</t>
  </si>
  <si>
    <t>liczba bezrobotnych 30 VI 2022</t>
  </si>
  <si>
    <t xml:space="preserve">* W jednocyfrowych grupach zawodów, odsetek w stosunku do liczby bezrobotnych ogółem z zawodem (B=100 proc.). </t>
  </si>
  <si>
    <t>** Wartości procentowe odpowiadające grupom dwucyfrowym obliczono dla danej grupy jednocyfrowej (GJ=100 proc.).</t>
  </si>
  <si>
    <t>*** Odsetek dla bezrobotnych bez zawodu w stosunku do "ogłóem" (A+B=100 proc.).</t>
  </si>
  <si>
    <t>wzrost/spadek (w proc.)</t>
  </si>
  <si>
    <t>B_2022</t>
  </si>
  <si>
    <t>oferty pracy w Ip 2022 r.</t>
  </si>
  <si>
    <t xml:space="preserve">* W jednocyfrowych grupach zawodów, odsetek w stosunku do liczby ofert ogółem z zawodem (B=100 proc.). </t>
  </si>
  <si>
    <t>*** Odsetek dla ofert bez zawodu w stosunku do "ogółem" (A+B=100 proc.).</t>
  </si>
  <si>
    <t>IP '22</t>
  </si>
  <si>
    <t>21</t>
  </si>
  <si>
    <t>dotychczas niepracujący</t>
  </si>
  <si>
    <t>kobiety z obywatelstwem ukraińskim zarejestrowane jako osoby bezrobotne</t>
  </si>
  <si>
    <t>kobiety z obywatelstwem ukraińskim zarejestrowane jako osoby poszukujące pracy</t>
  </si>
  <si>
    <t>udział bezrobotnych KOBIET z obywatelstwem ukraińskim w bezrobotnych ogółem z obywatelstwem ukraińskim (w proc.)</t>
  </si>
  <si>
    <t>najwyższy proc.</t>
  </si>
  <si>
    <t>najniższy proc.</t>
  </si>
  <si>
    <t>wyższe</t>
  </si>
  <si>
    <t>polic. i śr. zaw.</t>
  </si>
  <si>
    <t>śr. ogólnokszt.</t>
  </si>
  <si>
    <t>zas. zaw.</t>
  </si>
  <si>
    <t>gimn., podst. i niep. podst.</t>
  </si>
  <si>
    <t>w okresie sprawozdawczym, województwo podkarpackie, tabela zawiera formy promocji zatrudnienia.</t>
  </si>
  <si>
    <t>Tabela zawiera również informację o części środków wydatkowanych z Funduszu Pracy</t>
  </si>
  <si>
    <t>na przeciwdziałanie SARS-CoV-2 w województwie podkarpackim.  Część środków wydatkowanych w ramach</t>
  </si>
  <si>
    <t>Funduszu Gwarantowanych Świadczeń Pracowniczych zawiera odpowiedni rozdział analizy w części dotyczącej</t>
  </si>
  <si>
    <t>wydatki w wartościach bezwzględnych</t>
  </si>
  <si>
    <t>rozkłady procentowe według poszczególnych kategorii</t>
  </si>
  <si>
    <t>proc. rozkład form aktywnych bez covid-u</t>
  </si>
  <si>
    <t>proc. rozkład form aktywnych z covid-em</t>
  </si>
  <si>
    <r>
      <t>Aktywne formy promocji zatrudnienia ze środkami wydatkowanymi w ramach Covid-19</t>
    </r>
    <r>
      <rPr>
        <vertAlign val="superscript"/>
        <sz val="16"/>
        <color theme="1"/>
        <rFont val="Times New Roman"/>
        <family val="1"/>
        <charset val="238"/>
      </rPr>
      <t>1</t>
    </r>
  </si>
  <si>
    <r>
      <t>Aktywne formy promocji zatrudnienia bez środków wydatkowanych w ramach Covid-19</t>
    </r>
    <r>
      <rPr>
        <vertAlign val="superscript"/>
        <sz val="16"/>
        <color theme="1"/>
        <rFont val="Times New Roman"/>
        <family val="1"/>
        <charset val="238"/>
      </rPr>
      <t>2</t>
    </r>
  </si>
  <si>
    <t xml:space="preserve">       staże</t>
  </si>
  <si>
    <t xml:space="preserve">  szkolenia*</t>
  </si>
  <si>
    <t xml:space="preserve">  prace interwencyjne</t>
  </si>
  <si>
    <t xml:space="preserve">  roboty publiczne</t>
  </si>
  <si>
    <t xml:space="preserve">  środki na podjęcie działalności gospodarczej</t>
  </si>
  <si>
    <t xml:space="preserve">  środki dla pracodawców na wyp. i doposażenie miejsc pracy</t>
  </si>
  <si>
    <t xml:space="preserve">  stypendia i składki na ubezpieczenia społeczne **</t>
  </si>
  <si>
    <t xml:space="preserve">  pozostałe aktywne formy ***</t>
  </si>
  <si>
    <r>
      <t>Środki wydatkowane z Funduszu Pracy w ramach interwencji COVID-19</t>
    </r>
    <r>
      <rPr>
        <sz val="16"/>
        <color theme="1"/>
        <rFont val="Times New Roman"/>
        <family val="1"/>
        <charset val="238"/>
      </rPr>
      <t xml:space="preserve"> (ogółem)</t>
    </r>
  </si>
  <si>
    <r>
      <rPr>
        <b/>
        <sz val="16"/>
        <color theme="1"/>
        <rFont val="Times New Roman"/>
        <family val="1"/>
        <charset val="238"/>
      </rPr>
      <t>Środki wydatkowane z Funduszu Pracy w ramach interwencji COVID-19</t>
    </r>
    <r>
      <rPr>
        <sz val="16"/>
        <color theme="1"/>
        <rFont val="Times New Roman"/>
        <family val="1"/>
        <charset val="238"/>
      </rPr>
      <t xml:space="preserve"> na podstawie art. 15zzd, </t>
    </r>
    <r>
      <rPr>
        <sz val="16"/>
        <color rgb="FFC00000"/>
        <rFont val="Times New Roman"/>
        <family val="1"/>
        <charset val="238"/>
      </rPr>
      <t>15zzda</t>
    </r>
    <r>
      <rPr>
        <sz val="16"/>
        <color theme="1"/>
        <rFont val="Times New Roman"/>
        <family val="1"/>
        <charset val="238"/>
      </rPr>
      <t xml:space="preserve">, 15zzb, 15zzc, 15zze i </t>
    </r>
    <r>
      <rPr>
        <sz val="16"/>
        <color rgb="FFC00000"/>
        <rFont val="Times New Roman"/>
        <family val="1"/>
        <charset val="238"/>
      </rPr>
      <t>15zze2</t>
    </r>
    <r>
      <rPr>
        <sz val="16"/>
        <color theme="1"/>
        <rFont val="Times New Roman"/>
        <family val="1"/>
        <charset val="238"/>
      </rPr>
      <t xml:space="preserve"> tj. z rezerwy **** </t>
    </r>
  </si>
  <si>
    <r>
      <rPr>
        <b/>
        <sz val="16"/>
        <color theme="1"/>
        <rFont val="Times New Roman"/>
        <family val="1"/>
        <charset val="238"/>
      </rPr>
      <t>Środki wydatkowane z Funduszu Pracy w ramach interwencji COVID-19</t>
    </r>
    <r>
      <rPr>
        <sz val="16"/>
        <color theme="1"/>
        <rFont val="Times New Roman"/>
        <family val="1"/>
        <charset val="238"/>
      </rPr>
      <t xml:space="preserve"> na podstawie art. 15zze</t>
    </r>
    <r>
      <rPr>
        <vertAlign val="superscript"/>
        <sz val="16"/>
        <color theme="1"/>
        <rFont val="Times New Roman"/>
        <family val="1"/>
        <charset val="238"/>
      </rPr>
      <t>4</t>
    </r>
    <r>
      <rPr>
        <sz val="16"/>
        <color theme="1"/>
        <rFont val="Times New Roman"/>
        <family val="1"/>
        <charset val="238"/>
      </rPr>
      <t xml:space="preserve"> tj. nie z rezerwy</t>
    </r>
    <r>
      <rPr>
        <vertAlign val="superscript"/>
        <sz val="16"/>
        <color theme="1"/>
        <rFont val="Times New Roman"/>
        <family val="1"/>
        <charset val="238"/>
      </rPr>
      <t>3</t>
    </r>
  </si>
  <si>
    <t>w stosunku do okresów wcześniejszych. Posiadają zakres ścisle odpowiadający przepisom ustawy o promocji zatrudnienia i instytucjach rynu pracy.</t>
  </si>
  <si>
    <t>Formy aktywne i zasiłki dla bezrobotnych oraz wydatki w ramach COVID-19  i  kategoria "inne" sumują się do ogółem wydatków realizowanych z FP.</t>
  </si>
  <si>
    <t xml:space="preserve">         związanych z zapobieganiem, przeciwdziałaniem i zwalczaniem COVID-19,  innych chorób zakaźnych oraz wywołanych nimi</t>
  </si>
  <si>
    <t xml:space="preserve">         sytuacji kryzysowych. Nie zawierają części pomocy państwowej, wydatkowanej przez Fundusz Gwarantowanych Świadczeń Pracowniczych.</t>
  </si>
  <si>
    <t>dla bezrobotnych i pracodawców. Aktywnymi formami są również środki wydatkowane z FP w ramach przeciwdziałania SARS-CoV-2 na podstawie odrębnych przepisów.</t>
  </si>
  <si>
    <t xml:space="preserve">    z dnia 16 października 2020 r. w sprawie ogłoszenia jednolitego tekstu ustawy o szczególnych rozwiązaniach</t>
  </si>
  <si>
    <t xml:space="preserve">    związanych z zapobieganiem, przeciwdziałaniem i zwalczaniem COVID-19, innych chorób zakaźnych oraz wywołanych nimi sytuacji kryzysowych.</t>
  </si>
  <si>
    <t>w I półroczu 2022 roku</t>
  </si>
  <si>
    <r>
      <t xml:space="preserve">Tabela XXIII.  </t>
    </r>
    <r>
      <rPr>
        <b/>
        <sz val="11"/>
        <color theme="1"/>
        <rFont val="Times New Roman"/>
        <family val="1"/>
        <charset val="238"/>
      </rPr>
      <t>WYDATKI  REALIZOWANE  Z  FUNDUSZU  PRACY</t>
    </r>
  </si>
  <si>
    <t>wyłączeni z rejestru bez utraty statusu bezrobtnych (w sensie prawnym)</t>
  </si>
  <si>
    <r>
      <rPr>
        <vertAlign val="superscript"/>
        <sz val="14"/>
        <color theme="1"/>
        <rFont val="Times New Roman"/>
        <family val="1"/>
        <charset val="238"/>
      </rPr>
      <t>1</t>
    </r>
    <r>
      <rPr>
        <sz val="14"/>
        <color theme="1"/>
        <rFont val="Times New Roman"/>
        <family val="1"/>
        <charset val="238"/>
      </rPr>
      <t xml:space="preserve"> Wydatki na formy wsparcia zatrudnienia (ogółem) są obliczane razem z wydatkami poniesionymi w ramach COVID-19.</t>
    </r>
  </si>
  <si>
    <r>
      <rPr>
        <vertAlign val="superscript"/>
        <sz val="14"/>
        <color theme="1"/>
        <rFont val="Times New Roman"/>
        <family val="1"/>
        <charset val="238"/>
      </rPr>
      <t>2</t>
    </r>
    <r>
      <rPr>
        <sz val="14"/>
        <color theme="1"/>
        <rFont val="Times New Roman"/>
        <family val="1"/>
        <charset val="238"/>
      </rPr>
      <t xml:space="preserve"> Wydatki na aktywne formy promocji zatrudnienia zostasły obliczone bez wydatków w ramach COVID-19. Zawierają dotychczas stosowane aktywne formy i zachowują tym samym możliwość porównania</t>
    </r>
  </si>
  <si>
    <r>
      <t xml:space="preserve">Tradycyjne </t>
    </r>
    <r>
      <rPr>
        <b/>
        <sz val="14"/>
        <color theme="1"/>
        <rFont val="Times New Roman"/>
        <family val="1"/>
        <charset val="238"/>
      </rPr>
      <t>aktywne formy promocji zatrudnienia</t>
    </r>
    <r>
      <rPr>
        <sz val="14"/>
        <color theme="1"/>
        <rFont val="Times New Roman"/>
        <family val="1"/>
        <charset val="238"/>
      </rPr>
      <t xml:space="preserve"> to np. szkolenia i przekwalifikowania, prace interwencyjne i roboty publiczne, pożyczki</t>
    </r>
  </si>
  <si>
    <r>
      <rPr>
        <b/>
        <sz val="14"/>
        <color theme="1"/>
        <rFont val="Times New Roman"/>
        <family val="1"/>
        <charset val="238"/>
      </rPr>
      <t>Pasywne formy</t>
    </r>
    <r>
      <rPr>
        <sz val="14"/>
        <color theme="1"/>
        <rFont val="Times New Roman"/>
        <family val="1"/>
        <charset val="238"/>
      </rPr>
      <t xml:space="preserve"> (tzw. programy osłonowe) są to zasiłki dla osób bezrobotnych oraz zasiłki i świedczenia przedemerytalne.</t>
    </r>
  </si>
  <si>
    <r>
      <rPr>
        <vertAlign val="superscript"/>
        <sz val="14"/>
        <color theme="1"/>
        <rFont val="Times New Roman"/>
        <family val="1"/>
        <charset val="238"/>
      </rPr>
      <t xml:space="preserve">3 </t>
    </r>
    <r>
      <rPr>
        <sz val="14"/>
        <color theme="1"/>
        <rFont val="Times New Roman"/>
        <family val="1"/>
        <charset val="238"/>
      </rPr>
      <t xml:space="preserve">  Na podstawie przepisów Dz.U. 2020 poz. 1842 Obwieszczenie Marszałka Sejmu Rzeczypospolitej Polskiej </t>
    </r>
  </si>
  <si>
    <t>31 XII 2022</t>
  </si>
  <si>
    <t>30 VI 2023</t>
  </si>
  <si>
    <t>II półrocze 2022</t>
  </si>
  <si>
    <t>2022 rok</t>
  </si>
  <si>
    <t>I półrocze 2023</t>
  </si>
  <si>
    <t>31 XII '22</t>
  </si>
  <si>
    <t>30 VI '23</t>
  </si>
  <si>
    <t>wzrost/spadek do VI '22 (liczba)</t>
  </si>
  <si>
    <t>30 VI "22</t>
  </si>
  <si>
    <t>31 XII '22*</t>
  </si>
  <si>
    <t>wzrost/spadek do XII '23 (liczba)</t>
  </si>
  <si>
    <t>IIp 2022</t>
  </si>
  <si>
    <t>Ip 2023</t>
  </si>
  <si>
    <t>Tabela XXVIII.   WSKAŹNIK  ZATRUDNIENIA</t>
  </si>
  <si>
    <t>Wskaźnik zatrudnienia - jako udział osób pracujących w liczbie ludności 15-89 ogółem lub dla danej grupy.</t>
  </si>
  <si>
    <t xml:space="preserve">                              średnio w danym roku</t>
  </si>
  <si>
    <t>15-24 lata</t>
  </si>
  <si>
    <t>wg poziomu wykształcenia</t>
  </si>
  <si>
    <t>gimnazjalne, podstawowe, niepełne podstawowe i bez wykształcenia szkolnego</t>
  </si>
  <si>
    <t>W tablicy zostały wykorzystane dane opublikowane na stronie internetowej GUS.</t>
  </si>
  <si>
    <t>www.stat.gov.pl,  Bank Danych Lokalnych.</t>
  </si>
  <si>
    <t>* Ostatni z opisywanych lat do roku poprzedniego. Wzrost lub spadek w pkt. proc.</t>
  </si>
  <si>
    <t>22</t>
  </si>
  <si>
    <t>18-59/64</t>
  </si>
  <si>
    <t>wg przedziałów wieku [w latach]</t>
  </si>
  <si>
    <t>50-89</t>
  </si>
  <si>
    <r>
      <t xml:space="preserve">województwo podkarpackie, </t>
    </r>
    <r>
      <rPr>
        <sz val="9"/>
        <color theme="1"/>
        <rFont val="Times New Roman"/>
        <family val="1"/>
        <charset val="238"/>
      </rPr>
      <t>ogółem 15-89</t>
    </r>
  </si>
  <si>
    <r>
      <t xml:space="preserve">Polska, </t>
    </r>
    <r>
      <rPr>
        <sz val="9"/>
        <color theme="1"/>
        <rFont val="Times New Roman"/>
        <family val="1"/>
        <charset val="238"/>
      </rPr>
      <t>ogółem 15-89</t>
    </r>
  </si>
  <si>
    <t>IP '23</t>
  </si>
  <si>
    <t>w okresie I półrocza 2023 roku</t>
  </si>
  <si>
    <t>w I półroczu 2023 roku</t>
  </si>
  <si>
    <t>w Ip. 2022 roku</t>
  </si>
  <si>
    <t>w Ip 2023 roku</t>
  </si>
  <si>
    <t>oferty pracy w Ip 2023 r.</t>
  </si>
  <si>
    <t>I p 2023</t>
  </si>
  <si>
    <t>liczba bezrobotnych 30 VI 2023</t>
  </si>
  <si>
    <t>B_2023</t>
  </si>
  <si>
    <t>w okresie I półrocza 2023 r.</t>
  </si>
  <si>
    <t>Ip.23</t>
  </si>
  <si>
    <t>Ip.22</t>
  </si>
  <si>
    <t>Ip.98</t>
  </si>
  <si>
    <t>Ip.99</t>
  </si>
  <si>
    <t>Ip.00</t>
  </si>
  <si>
    <t>Ip.01</t>
  </si>
  <si>
    <t>Ip.02</t>
  </si>
  <si>
    <t>Ip.03</t>
  </si>
  <si>
    <t>Ip.04</t>
  </si>
  <si>
    <t>Ip.05</t>
  </si>
  <si>
    <t>Ip.06</t>
  </si>
  <si>
    <t>Ip.07</t>
  </si>
  <si>
    <t>Ip.08</t>
  </si>
  <si>
    <t>Ip.09</t>
  </si>
  <si>
    <t>Ip.10</t>
  </si>
  <si>
    <t>Ip.11</t>
  </si>
  <si>
    <t>Ip.12</t>
  </si>
  <si>
    <t>Ip.13</t>
  </si>
  <si>
    <t>Ip.14</t>
  </si>
  <si>
    <t>Ip.15</t>
  </si>
  <si>
    <t>Ip.16</t>
  </si>
  <si>
    <t>Ip.17</t>
  </si>
  <si>
    <t>Ip.18</t>
  </si>
  <si>
    <t>Ip.19</t>
  </si>
  <si>
    <t>Ip.20</t>
  </si>
  <si>
    <t>Ip.21</t>
  </si>
  <si>
    <t>w Ip 23 r.</t>
  </si>
  <si>
    <t>w Ip 22 r.</t>
  </si>
  <si>
    <t>Ip 23 r. w proc. (w ogółem, dla danej kategorii)</t>
  </si>
  <si>
    <t>Źrodło: SI "Cesar", 13-07-2023 r.</t>
  </si>
  <si>
    <t>31 XII 22=100 proc.</t>
  </si>
  <si>
    <t>30 VI 22=100 proc.</t>
  </si>
  <si>
    <t xml:space="preserve">30 VI 22=100 proc. </t>
  </si>
  <si>
    <t>Tabela II a.  OSOBY POSIADAJĄCE OBYWATELSTWO</t>
  </si>
  <si>
    <t xml:space="preserve">                      UKRAIŃSKIE ZAREJESTROWANE JAKO BEZROBOTNI W PUP</t>
  </si>
  <si>
    <t xml:space="preserve">                      wg powiatów, stan w końcu okresu</t>
  </si>
  <si>
    <t>udział w bezrobotnych ogółem (proc.)</t>
  </si>
  <si>
    <t>LICZBA BEZROBOTNYCH ogółem, stan na 30 VI 2023</t>
  </si>
  <si>
    <t>LICZBA POSZUKUJĄCYCH PRACY ogółem, stan na 30 VI 2023</t>
  </si>
  <si>
    <t>lokata max kol. 3</t>
  </si>
  <si>
    <t>lokata min kol. 3</t>
  </si>
  <si>
    <t>wzrost lub spadek w por. do I półrocza 22</t>
  </si>
  <si>
    <t>wzrost/spadek do XII 23 (pkt. proc.)</t>
  </si>
  <si>
    <t>wzrost/spadek do VI 22 (pkt. proc.)</t>
  </si>
  <si>
    <t>wzrost/spadek do Ip 22</t>
  </si>
  <si>
    <t xml:space="preserve"> 31 XII 2022=100 proc.</t>
  </si>
  <si>
    <t>30 VI 23 r.</t>
  </si>
  <si>
    <t>wzrost/spadek 31 XII 22=100 proc.
(liczba)</t>
  </si>
  <si>
    <t>wzrost / spadek 31 XII 22=100 proc.   (w proc.)</t>
  </si>
  <si>
    <t>wzrost/spadek 30 VI 22=100 proc.
(liczba)</t>
  </si>
  <si>
    <t>wzrost / spadek 30 VI 22=100 proc.  (w proc.)</t>
  </si>
  <si>
    <t>Tabela XVIII. ZMIANY ILOŚCI BEZROBOTNYCH WG GRUP ZAWODOWYCH</t>
  </si>
  <si>
    <t>lokata</t>
  </si>
  <si>
    <t>* Są to osoby, zarejestrowane wg stanu na dzień. Na posdtawie SI "Cezar".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</si>
</sst>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"/>
    <numFmt numFmtId="166" formatCode="#,##0.0"/>
    <numFmt numFmtId="167" formatCode="#,##0.000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  <scheme val="major"/>
    </font>
    <font>
      <sz val="8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7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6"/>
      <name val="Times New Roman"/>
      <family val="1"/>
      <charset val="238"/>
    </font>
    <font>
      <sz val="16"/>
      <color rgb="FFC00000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vertAlign val="superscript"/>
      <sz val="16"/>
      <color theme="1"/>
      <name val="Times New Roman"/>
      <family val="1"/>
      <charset val="238"/>
    </font>
    <font>
      <sz val="17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4"/>
      <color theme="1"/>
      <name val="Times New Roman"/>
      <family val="1"/>
      <charset val="238"/>
    </font>
    <font>
      <vertAlign val="superscript"/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0000FF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8EDEC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rgb="FFEED0CE"/>
        <bgColor rgb="FF000000"/>
      </patternFill>
    </fill>
    <fill>
      <patternFill patternType="solid">
        <fgColor rgb="FFEED0CE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EFD2D1"/>
        <bgColor indexed="64"/>
      </patternFill>
    </fill>
    <fill>
      <patternFill patternType="solid">
        <fgColor theme="9" tint="0.79998168889431442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0"/>
      </top>
      <bottom/>
      <diagonal/>
    </border>
    <border>
      <left style="thin">
        <color indexed="64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>
      <alignment horizontal="right" vertical="center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0">
      <alignment horizontal="right" vertical="center"/>
    </xf>
    <xf numFmtId="0" fontId="14" fillId="0" borderId="0">
      <alignment horizontal="left" vertical="center"/>
    </xf>
    <xf numFmtId="0" fontId="2" fillId="0" borderId="0">
      <alignment horizontal="left" vertical="center"/>
    </xf>
    <xf numFmtId="0" fontId="14" fillId="0" borderId="0">
      <alignment horizontal="left" vertical="center"/>
    </xf>
    <xf numFmtId="0" fontId="2" fillId="0" borderId="0">
      <alignment horizontal="right" vertical="center"/>
    </xf>
    <xf numFmtId="0" fontId="14" fillId="0" borderId="0">
      <alignment horizontal="right" vertical="center"/>
    </xf>
    <xf numFmtId="0" fontId="14" fillId="0" borderId="0">
      <alignment horizontal="right" vertical="center"/>
    </xf>
    <xf numFmtId="0" fontId="13" fillId="0" borderId="0">
      <alignment horizontal="right" vertical="center"/>
    </xf>
  </cellStyleXfs>
  <cellXfs count="1053">
    <xf numFmtId="0" fontId="0" fillId="0" borderId="0" xfId="0"/>
    <xf numFmtId="0" fontId="1" fillId="2" borderId="0" xfId="0" applyFont="1" applyFill="1"/>
    <xf numFmtId="0" fontId="0" fillId="2" borderId="0" xfId="0" applyFill="1"/>
    <xf numFmtId="3" fontId="4" fillId="2" borderId="11" xfId="0" applyNumberFormat="1" applyFont="1" applyFill="1" applyBorder="1" applyAlignment="1">
      <alignment horizontal="center" vertical="center" wrapText="1"/>
    </xf>
    <xf numFmtId="3" fontId="4" fillId="2" borderId="31" xfId="0" applyNumberFormat="1" applyFont="1" applyFill="1" applyBorder="1" applyAlignment="1">
      <alignment horizontal="center" vertical="center" wrapText="1"/>
    </xf>
    <xf numFmtId="3" fontId="4" fillId="2" borderId="12" xfId="0" applyNumberFormat="1" applyFont="1" applyFill="1" applyBorder="1" applyAlignment="1">
      <alignment horizontal="center" vertical="center" wrapText="1"/>
    </xf>
    <xf numFmtId="3" fontId="4" fillId="2" borderId="30" xfId="0" applyNumberFormat="1" applyFont="1" applyFill="1" applyBorder="1" applyAlignment="1">
      <alignment horizontal="center" vertical="center" wrapText="1"/>
    </xf>
    <xf numFmtId="166" fontId="4" fillId="2" borderId="10" xfId="0" applyNumberFormat="1" applyFont="1" applyFill="1" applyBorder="1" applyAlignment="1">
      <alignment horizontal="center" vertical="center" wrapText="1"/>
    </xf>
    <xf numFmtId="166" fontId="4" fillId="2" borderId="13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18" xfId="0" applyFont="1" applyFill="1" applyBorder="1" applyAlignment="1">
      <alignment horizontal="left" vertical="center" wrapText="1"/>
    </xf>
    <xf numFmtId="3" fontId="4" fillId="2" borderId="9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10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4" fillId="2" borderId="18" xfId="0" applyFont="1" applyFill="1" applyBorder="1"/>
    <xf numFmtId="0" fontId="4" fillId="2" borderId="33" xfId="0" applyFont="1" applyFill="1" applyBorder="1"/>
    <xf numFmtId="3" fontId="4" fillId="2" borderId="11" xfId="0" applyNumberFormat="1" applyFont="1" applyFill="1" applyBorder="1" applyAlignment="1">
      <alignment horizontal="center" vertical="center"/>
    </xf>
    <xf numFmtId="3" fontId="4" fillId="2" borderId="12" xfId="0" applyNumberFormat="1" applyFont="1" applyFill="1" applyBorder="1" applyAlignment="1">
      <alignment horizontal="center" vertical="center"/>
    </xf>
    <xf numFmtId="3" fontId="4" fillId="2" borderId="13" xfId="0" applyNumberFormat="1" applyFont="1" applyFill="1" applyBorder="1" applyAlignment="1">
      <alignment horizontal="center" vertical="center"/>
    </xf>
    <xf numFmtId="3" fontId="4" fillId="2" borderId="83" xfId="0" applyNumberFormat="1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left" vertical="center" wrapText="1"/>
    </xf>
    <xf numFmtId="3" fontId="6" fillId="2" borderId="84" xfId="0" applyNumberFormat="1" applyFont="1" applyFill="1" applyBorder="1" applyAlignment="1">
      <alignment horizontal="center" vertical="center"/>
    </xf>
    <xf numFmtId="3" fontId="6" fillId="2" borderId="83" xfId="0" applyNumberFormat="1" applyFont="1" applyFill="1" applyBorder="1" applyAlignment="1">
      <alignment horizontal="center" vertical="center"/>
    </xf>
    <xf numFmtId="166" fontId="4" fillId="2" borderId="10" xfId="0" applyNumberFormat="1" applyFont="1" applyFill="1" applyBorder="1" applyAlignment="1">
      <alignment horizontal="center" vertical="center"/>
    </xf>
    <xf numFmtId="166" fontId="4" fillId="2" borderId="13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top"/>
    </xf>
    <xf numFmtId="3" fontId="4" fillId="2" borderId="51" xfId="0" applyNumberFormat="1" applyFont="1" applyFill="1" applyBorder="1" applyAlignment="1">
      <alignment horizontal="center" vertical="center"/>
    </xf>
    <xf numFmtId="166" fontId="4" fillId="2" borderId="49" xfId="0" applyNumberFormat="1" applyFont="1" applyFill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center" vertical="center"/>
    </xf>
    <xf numFmtId="166" fontId="4" fillId="2" borderId="8" xfId="0" applyNumberFormat="1" applyFont="1" applyFill="1" applyBorder="1" applyAlignment="1">
      <alignment horizontal="center" vertical="center"/>
    </xf>
    <xf numFmtId="3" fontId="4" fillId="2" borderId="18" xfId="0" applyNumberFormat="1" applyFont="1" applyFill="1" applyBorder="1" applyAlignment="1">
      <alignment horizontal="center" vertical="center"/>
    </xf>
    <xf numFmtId="3" fontId="4" fillId="2" borderId="63" xfId="0" applyNumberFormat="1" applyFont="1" applyFill="1" applyBorder="1" applyAlignment="1">
      <alignment horizontal="center" vertical="center"/>
    </xf>
    <xf numFmtId="3" fontId="4" fillId="2" borderId="34" xfId="0" applyNumberFormat="1" applyFont="1" applyFill="1" applyBorder="1" applyAlignment="1">
      <alignment horizontal="center" vertical="center"/>
    </xf>
    <xf numFmtId="3" fontId="4" fillId="2" borderId="33" xfId="0" applyNumberFormat="1" applyFont="1" applyFill="1" applyBorder="1" applyAlignment="1">
      <alignment horizontal="center" vertical="center"/>
    </xf>
    <xf numFmtId="3" fontId="4" fillId="2" borderId="82" xfId="0" applyNumberFormat="1" applyFont="1" applyFill="1" applyBorder="1" applyAlignment="1">
      <alignment horizontal="center" vertical="center"/>
    </xf>
    <xf numFmtId="166" fontId="4" fillId="2" borderId="27" xfId="0" applyNumberFormat="1" applyFont="1" applyFill="1" applyBorder="1" applyAlignment="1">
      <alignment horizontal="center" vertical="center"/>
    </xf>
    <xf numFmtId="3" fontId="4" fillId="2" borderId="32" xfId="0" applyNumberFormat="1" applyFont="1" applyFill="1" applyBorder="1" applyAlignment="1">
      <alignment horizontal="center" vertical="center"/>
    </xf>
    <xf numFmtId="3" fontId="4" fillId="2" borderId="22" xfId="0" applyNumberFormat="1" applyFont="1" applyFill="1" applyBorder="1" applyAlignment="1">
      <alignment horizontal="center" vertical="center"/>
    </xf>
    <xf numFmtId="166" fontId="4" fillId="2" borderId="24" xfId="0" applyNumberFormat="1" applyFont="1" applyFill="1" applyBorder="1" applyAlignment="1">
      <alignment horizontal="center" vertical="center"/>
    </xf>
    <xf numFmtId="3" fontId="4" fillId="2" borderId="44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center" vertical="center"/>
    </xf>
    <xf numFmtId="166" fontId="6" fillId="2" borderId="6" xfId="0" applyNumberFormat="1" applyFont="1" applyFill="1" applyBorder="1" applyAlignment="1">
      <alignment horizontal="center" vertical="center"/>
    </xf>
    <xf numFmtId="3" fontId="6" fillId="2" borderId="56" xfId="0" applyNumberFormat="1" applyFont="1" applyFill="1" applyBorder="1" applyAlignment="1">
      <alignment horizontal="center" vertical="center"/>
    </xf>
    <xf numFmtId="3" fontId="6" fillId="2" borderId="26" xfId="0" applyNumberFormat="1" applyFont="1" applyFill="1" applyBorder="1" applyAlignment="1">
      <alignment horizontal="center" vertical="center" wrapText="1"/>
    </xf>
    <xf numFmtId="166" fontId="4" fillId="2" borderId="12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/>
    <xf numFmtId="0" fontId="7" fillId="2" borderId="0" xfId="0" applyFont="1" applyFill="1"/>
    <xf numFmtId="3" fontId="4" fillId="2" borderId="9" xfId="0" applyNumberFormat="1" applyFont="1" applyFill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center" wrapText="1"/>
    </xf>
    <xf numFmtId="3" fontId="4" fillId="2" borderId="11" xfId="0" applyNumberFormat="1" applyFont="1" applyFill="1" applyBorder="1" applyAlignment="1">
      <alignment horizontal="center" wrapText="1"/>
    </xf>
    <xf numFmtId="0" fontId="4" fillId="2" borderId="34" xfId="0" applyFont="1" applyFill="1" applyBorder="1" applyAlignment="1">
      <alignment horizontal="left" vertical="center" wrapText="1"/>
    </xf>
    <xf numFmtId="166" fontId="4" fillId="2" borderId="8" xfId="0" applyNumberFormat="1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3" fontId="0" fillId="2" borderId="0" xfId="0" applyNumberFormat="1" applyFill="1"/>
    <xf numFmtId="49" fontId="4" fillId="2" borderId="19" xfId="0" applyNumberFormat="1" applyFont="1" applyFill="1" applyBorder="1" applyAlignment="1">
      <alignment horizontal="left" vertical="center" wrapText="1"/>
    </xf>
    <xf numFmtId="3" fontId="4" fillId="2" borderId="20" xfId="0" applyNumberFormat="1" applyFont="1" applyFill="1" applyBorder="1" applyAlignment="1">
      <alignment horizontal="center" vertical="center" wrapText="1"/>
    </xf>
    <xf numFmtId="166" fontId="4" fillId="2" borderId="20" xfId="0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left" vertical="center" wrapText="1" indent="2"/>
    </xf>
    <xf numFmtId="166" fontId="4" fillId="2" borderId="21" xfId="0" applyNumberFormat="1" applyFont="1" applyFill="1" applyBorder="1" applyAlignment="1">
      <alignment horizontal="center" vertical="center"/>
    </xf>
    <xf numFmtId="3" fontId="4" fillId="2" borderId="9" xfId="0" quotePrefix="1" applyNumberFormat="1" applyFont="1" applyFill="1" applyBorder="1" applyAlignment="1">
      <alignment horizontal="center" vertical="center"/>
    </xf>
    <xf numFmtId="166" fontId="4" fillId="2" borderId="21" xfId="0" quotePrefix="1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left" vertical="center" wrapText="1"/>
    </xf>
    <xf numFmtId="49" fontId="4" fillId="2" borderId="63" xfId="0" applyNumberFormat="1" applyFont="1" applyFill="1" applyBorder="1" applyAlignment="1">
      <alignment horizontal="left" vertical="center" wrapText="1"/>
    </xf>
    <xf numFmtId="166" fontId="4" fillId="2" borderId="78" xfId="0" applyNumberFormat="1" applyFont="1" applyFill="1" applyBorder="1" applyAlignment="1">
      <alignment horizontal="center" vertical="center"/>
    </xf>
    <xf numFmtId="49" fontId="4" fillId="2" borderId="34" xfId="0" applyNumberFormat="1" applyFont="1" applyFill="1" applyBorder="1" applyAlignment="1">
      <alignment horizontal="left" vertical="center" wrapText="1"/>
    </xf>
    <xf numFmtId="166" fontId="4" fillId="2" borderId="77" xfId="0" applyNumberFormat="1" applyFont="1" applyFill="1" applyBorder="1" applyAlignment="1">
      <alignment horizontal="center" vertical="center"/>
    </xf>
    <xf numFmtId="49" fontId="4" fillId="2" borderId="33" xfId="0" applyNumberFormat="1" applyFont="1" applyFill="1" applyBorder="1" applyAlignment="1">
      <alignment horizontal="left" vertical="center" wrapText="1"/>
    </xf>
    <xf numFmtId="3" fontId="4" fillId="2" borderId="11" xfId="0" quotePrefix="1" applyNumberFormat="1" applyFont="1" applyFill="1" applyBorder="1" applyAlignment="1">
      <alignment horizontal="center" vertical="center"/>
    </xf>
    <xf numFmtId="166" fontId="4" fillId="2" borderId="59" xfId="0" quotePrefix="1" applyNumberFormat="1" applyFont="1" applyFill="1" applyBorder="1" applyAlignment="1">
      <alignment horizontal="center" vertical="center"/>
    </xf>
    <xf numFmtId="166" fontId="4" fillId="2" borderId="59" xfId="0" applyNumberFormat="1" applyFont="1" applyFill="1" applyBorder="1" applyAlignment="1">
      <alignment horizontal="center" vertical="center"/>
    </xf>
    <xf numFmtId="49" fontId="4" fillId="2" borderId="34" xfId="0" applyNumberFormat="1" applyFont="1" applyFill="1" applyBorder="1" applyAlignment="1">
      <alignment horizontal="left" vertical="center" wrapText="1" indent="2"/>
    </xf>
    <xf numFmtId="49" fontId="4" fillId="2" borderId="63" xfId="0" applyNumberFormat="1" applyFont="1" applyFill="1" applyBorder="1" applyAlignment="1">
      <alignment horizontal="left" vertical="center" wrapText="1" indent="2"/>
    </xf>
    <xf numFmtId="3" fontId="4" fillId="2" borderId="51" xfId="0" quotePrefix="1" applyNumberFormat="1" applyFont="1" applyFill="1" applyBorder="1" applyAlignment="1">
      <alignment horizontal="center" vertical="center"/>
    </xf>
    <xf numFmtId="166" fontId="4" fillId="2" borderId="78" xfId="0" quotePrefix="1" applyNumberFormat="1" applyFont="1" applyFill="1" applyBorder="1" applyAlignment="1">
      <alignment horizontal="center" vertical="center"/>
    </xf>
    <xf numFmtId="0" fontId="0" fillId="2" borderId="0" xfId="0" applyFont="1" applyFill="1"/>
    <xf numFmtId="3" fontId="6" fillId="2" borderId="4" xfId="0" applyNumberFormat="1" applyFont="1" applyFill="1" applyBorder="1" applyAlignment="1">
      <alignment horizontal="center" vertical="center" wrapText="1"/>
    </xf>
    <xf numFmtId="3" fontId="4" fillId="2" borderId="21" xfId="0" applyNumberFormat="1" applyFont="1" applyFill="1" applyBorder="1" applyAlignment="1">
      <alignment horizontal="center" vertical="center" wrapText="1"/>
    </xf>
    <xf numFmtId="3" fontId="4" fillId="2" borderId="18" xfId="0" quotePrefix="1" applyNumberFormat="1" applyFont="1" applyFill="1" applyBorder="1" applyAlignment="1">
      <alignment horizontal="center" vertical="center"/>
    </xf>
    <xf numFmtId="3" fontId="4" fillId="2" borderId="63" xfId="0" quotePrefix="1" applyNumberFormat="1" applyFont="1" applyFill="1" applyBorder="1" applyAlignment="1">
      <alignment horizontal="center" vertical="center"/>
    </xf>
    <xf numFmtId="3" fontId="4" fillId="2" borderId="33" xfId="0" quotePrefix="1" applyNumberFormat="1" applyFont="1" applyFill="1" applyBorder="1" applyAlignment="1">
      <alignment horizontal="center" vertical="center"/>
    </xf>
    <xf numFmtId="3" fontId="6" fillId="2" borderId="84" xfId="0" applyNumberFormat="1" applyFont="1" applyFill="1" applyBorder="1" applyAlignment="1">
      <alignment horizontal="center" vertical="center" wrapText="1"/>
    </xf>
    <xf numFmtId="166" fontId="6" fillId="2" borderId="80" xfId="0" applyNumberFormat="1" applyFont="1" applyFill="1" applyBorder="1" applyAlignment="1">
      <alignment horizontal="center" vertical="center" wrapText="1"/>
    </xf>
    <xf numFmtId="3" fontId="6" fillId="2" borderId="48" xfId="0" applyNumberFormat="1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left" vertical="center" wrapText="1"/>
    </xf>
    <xf numFmtId="3" fontId="4" fillId="2" borderId="30" xfId="0" applyNumberFormat="1" applyFont="1" applyFill="1" applyBorder="1" applyAlignment="1">
      <alignment horizontal="center" vertical="center"/>
    </xf>
    <xf numFmtId="3" fontId="4" fillId="2" borderId="31" xfId="0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/>
    </xf>
    <xf numFmtId="166" fontId="4" fillId="2" borderId="12" xfId="0" applyNumberFormat="1" applyFont="1" applyFill="1" applyBorder="1" applyAlignment="1">
      <alignment horizontal="center" vertical="center"/>
    </xf>
    <xf numFmtId="3" fontId="4" fillId="2" borderId="1" xfId="2" applyNumberFormat="1" applyFont="1" applyFill="1" applyBorder="1" applyAlignment="1">
      <alignment horizontal="center" vertical="center" wrapText="1"/>
    </xf>
    <xf numFmtId="3" fontId="4" fillId="2" borderId="1" xfId="2" applyNumberFormat="1" applyFont="1" applyFill="1" applyBorder="1" applyAlignment="1">
      <alignment horizontal="center" vertical="center"/>
    </xf>
    <xf numFmtId="3" fontId="4" fillId="2" borderId="12" xfId="2" applyNumberFormat="1" applyFont="1" applyFill="1" applyBorder="1" applyAlignment="1">
      <alignment horizontal="center" vertical="center"/>
    </xf>
    <xf numFmtId="166" fontId="4" fillId="2" borderId="39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6" fontId="6" fillId="2" borderId="26" xfId="0" applyNumberFormat="1" applyFont="1" applyFill="1" applyBorder="1" applyAlignment="1">
      <alignment horizontal="center" vertical="center" wrapText="1"/>
    </xf>
    <xf numFmtId="166" fontId="6" fillId="2" borderId="27" xfId="0" applyNumberFormat="1" applyFont="1" applyFill="1" applyBorder="1" applyAlignment="1">
      <alignment horizontal="center" vertical="center" wrapText="1"/>
    </xf>
    <xf numFmtId="3" fontId="4" fillId="2" borderId="2" xfId="2" applyNumberFormat="1" applyFont="1" applyFill="1" applyBorder="1" applyAlignment="1">
      <alignment horizontal="center" vertical="center" wrapText="1"/>
    </xf>
    <xf numFmtId="3" fontId="4" fillId="2" borderId="38" xfId="2" applyNumberFormat="1" applyFont="1" applyFill="1" applyBorder="1" applyAlignment="1">
      <alignment horizontal="center" vertical="center" wrapText="1"/>
    </xf>
    <xf numFmtId="166" fontId="4" fillId="2" borderId="8" xfId="3" applyNumberFormat="1" applyFont="1" applyFill="1" applyBorder="1" applyAlignment="1">
      <alignment horizontal="center" vertical="center" wrapText="1"/>
    </xf>
    <xf numFmtId="166" fontId="4" fillId="2" borderId="45" xfId="0" applyNumberFormat="1" applyFont="1" applyFill="1" applyBorder="1" applyAlignment="1">
      <alignment horizontal="center" vertical="center" wrapText="1"/>
    </xf>
    <xf numFmtId="166" fontId="4" fillId="2" borderId="39" xfId="3" applyNumberFormat="1" applyFont="1" applyFill="1" applyBorder="1" applyAlignment="1">
      <alignment horizontal="center" vertical="center" wrapText="1"/>
    </xf>
    <xf numFmtId="3" fontId="4" fillId="2" borderId="35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166" fontId="4" fillId="2" borderId="10" xfId="0" applyNumberFormat="1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3" fontId="4" fillId="2" borderId="11" xfId="0" applyNumberFormat="1" applyFont="1" applyFill="1" applyBorder="1" applyAlignment="1">
      <alignment horizontal="center"/>
    </xf>
    <xf numFmtId="3" fontId="4" fillId="2" borderId="31" xfId="0" applyNumberFormat="1" applyFont="1" applyFill="1" applyBorder="1" applyAlignment="1">
      <alignment horizontal="center"/>
    </xf>
    <xf numFmtId="3" fontId="4" fillId="2" borderId="12" xfId="0" applyNumberFormat="1" applyFont="1" applyFill="1" applyBorder="1" applyAlignment="1">
      <alignment horizontal="center"/>
    </xf>
    <xf numFmtId="166" fontId="4" fillId="2" borderId="13" xfId="0" applyNumberFormat="1" applyFont="1" applyFill="1" applyBorder="1" applyAlignment="1">
      <alignment horizontal="center"/>
    </xf>
    <xf numFmtId="3" fontId="4" fillId="2" borderId="29" xfId="0" applyNumberFormat="1" applyFont="1" applyFill="1" applyBorder="1" applyAlignment="1">
      <alignment horizontal="center" vertical="center"/>
    </xf>
    <xf numFmtId="3" fontId="4" fillId="2" borderId="26" xfId="0" applyNumberFormat="1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left" vertical="center" wrapText="1" indent="1"/>
    </xf>
    <xf numFmtId="0" fontId="4" fillId="2" borderId="48" xfId="0" applyFont="1" applyFill="1" applyBorder="1" applyAlignment="1">
      <alignment horizontal="left" vertical="center" wrapText="1" indent="2"/>
    </xf>
    <xf numFmtId="3" fontId="4" fillId="2" borderId="85" xfId="0" applyNumberFormat="1" applyFont="1" applyFill="1" applyBorder="1" applyAlignment="1">
      <alignment horizontal="center" vertical="center"/>
    </xf>
    <xf numFmtId="166" fontId="4" fillId="2" borderId="25" xfId="0" applyNumberFormat="1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left" vertical="center" wrapText="1"/>
    </xf>
    <xf numFmtId="0" fontId="6" fillId="2" borderId="36" xfId="0" applyFont="1" applyFill="1" applyBorder="1" applyAlignment="1">
      <alignment horizontal="left" vertical="center" wrapText="1"/>
    </xf>
    <xf numFmtId="3" fontId="6" fillId="2" borderId="50" xfId="0" applyNumberFormat="1" applyFont="1" applyFill="1" applyBorder="1" applyAlignment="1">
      <alignment horizontal="center" vertical="center"/>
    </xf>
    <xf numFmtId="166" fontId="6" fillId="2" borderId="39" xfId="0" applyNumberFormat="1" applyFont="1" applyFill="1" applyBorder="1" applyAlignment="1">
      <alignment horizontal="center" vertical="center"/>
    </xf>
    <xf numFmtId="3" fontId="6" fillId="2" borderId="37" xfId="0" applyNumberFormat="1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left" vertical="center" wrapText="1"/>
    </xf>
    <xf numFmtId="3" fontId="4" fillId="2" borderId="61" xfId="0" applyNumberFormat="1" applyFont="1" applyFill="1" applyBorder="1" applyAlignment="1">
      <alignment horizontal="center" vertical="center"/>
    </xf>
    <xf numFmtId="166" fontId="4" fillId="2" borderId="62" xfId="0" applyNumberFormat="1" applyFont="1" applyFill="1" applyBorder="1" applyAlignment="1">
      <alignment horizontal="center" vertical="center"/>
    </xf>
    <xf numFmtId="3" fontId="4" fillId="2" borderId="73" xfId="0" applyNumberFormat="1" applyFont="1" applyFill="1" applyBorder="1" applyAlignment="1">
      <alignment horizontal="center" vertical="center"/>
    </xf>
    <xf numFmtId="3" fontId="4" fillId="2" borderId="16" xfId="0" applyNumberFormat="1" applyFont="1" applyFill="1" applyBorder="1" applyAlignment="1">
      <alignment horizontal="center" vertical="center"/>
    </xf>
    <xf numFmtId="166" fontId="4" fillId="2" borderId="17" xfId="0" applyNumberFormat="1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left" vertical="center" wrapText="1"/>
    </xf>
    <xf numFmtId="3" fontId="4" fillId="2" borderId="74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2" borderId="10" xfId="0" applyNumberFormat="1" applyFont="1" applyFill="1" applyBorder="1" applyAlignment="1">
      <alignment horizontal="center" vertical="center" wrapText="1"/>
    </xf>
    <xf numFmtId="3" fontId="8" fillId="2" borderId="12" xfId="0" applyNumberFormat="1" applyFont="1" applyFill="1" applyBorder="1" applyAlignment="1">
      <alignment horizontal="center" vertical="center" wrapText="1"/>
    </xf>
    <xf numFmtId="3" fontId="8" fillId="2" borderId="13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165" fontId="4" fillId="2" borderId="39" xfId="0" applyNumberFormat="1" applyFont="1" applyFill="1" applyBorder="1" applyAlignment="1">
      <alignment horizontal="center" vertical="center"/>
    </xf>
    <xf numFmtId="3" fontId="6" fillId="2" borderId="36" xfId="0" applyNumberFormat="1" applyFont="1" applyFill="1" applyBorder="1" applyAlignment="1">
      <alignment horizontal="center" vertical="center"/>
    </xf>
    <xf numFmtId="3" fontId="6" fillId="2" borderId="39" xfId="0" applyNumberFormat="1" applyFont="1" applyFill="1" applyBorder="1" applyAlignment="1">
      <alignment horizontal="center" vertical="center"/>
    </xf>
    <xf numFmtId="3" fontId="4" fillId="2" borderId="8" xfId="0" applyNumberFormat="1" applyFont="1" applyFill="1" applyBorder="1" applyAlignment="1">
      <alignment horizontal="center" vertical="center"/>
    </xf>
    <xf numFmtId="3" fontId="4" fillId="2" borderId="45" xfId="0" applyNumberFormat="1" applyFont="1" applyFill="1" applyBorder="1" applyAlignment="1">
      <alignment horizontal="center" vertical="center"/>
    </xf>
    <xf numFmtId="3" fontId="4" fillId="2" borderId="54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3" fontId="8" fillId="3" borderId="2" xfId="0" quotePrefix="1" applyNumberFormat="1" applyFont="1" applyFill="1" applyBorder="1" applyAlignment="1">
      <alignment horizontal="center" vertical="center"/>
    </xf>
    <xf numFmtId="166" fontId="8" fillId="3" borderId="1" xfId="0" applyNumberFormat="1" applyFont="1" applyFill="1" applyBorder="1" applyAlignment="1">
      <alignment horizontal="center" vertical="center"/>
    </xf>
    <xf numFmtId="166" fontId="8" fillId="3" borderId="45" xfId="0" applyNumberFormat="1" applyFont="1" applyFill="1" applyBorder="1" applyAlignment="1">
      <alignment horizontal="center" vertical="center"/>
    </xf>
    <xf numFmtId="3" fontId="8" fillId="3" borderId="7" xfId="0" quotePrefix="1" applyNumberFormat="1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wrapText="1"/>
    </xf>
    <xf numFmtId="3" fontId="8" fillId="3" borderId="9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/>
    </xf>
    <xf numFmtId="3" fontId="8" fillId="3" borderId="45" xfId="0" applyNumberFormat="1" applyFont="1" applyFill="1" applyBorder="1" applyAlignment="1">
      <alignment horizontal="center" vertical="center"/>
    </xf>
    <xf numFmtId="3" fontId="8" fillId="3" borderId="51" xfId="0" applyNumberFormat="1" applyFont="1" applyFill="1" applyBorder="1" applyAlignment="1">
      <alignment horizontal="center" vertical="center"/>
    </xf>
    <xf numFmtId="3" fontId="8" fillId="3" borderId="46" xfId="0" applyNumberFormat="1" applyFont="1" applyFill="1" applyBorder="1" applyAlignment="1">
      <alignment horizontal="center" vertical="center"/>
    </xf>
    <xf numFmtId="0" fontId="8" fillId="3" borderId="71" xfId="0" applyFont="1" applyFill="1" applyBorder="1" applyAlignment="1">
      <alignment wrapText="1"/>
    </xf>
    <xf numFmtId="3" fontId="8" fillId="3" borderId="11" xfId="0" applyNumberFormat="1" applyFont="1" applyFill="1" applyBorder="1" applyAlignment="1">
      <alignment horizontal="center" vertical="center"/>
    </xf>
    <xf numFmtId="166" fontId="8" fillId="3" borderId="12" xfId="0" applyNumberFormat="1" applyFont="1" applyFill="1" applyBorder="1" applyAlignment="1">
      <alignment horizontal="center" vertical="center"/>
    </xf>
    <xf numFmtId="3" fontId="8" fillId="3" borderId="12" xfId="0" applyNumberFormat="1" applyFont="1" applyFill="1" applyBorder="1" applyAlignment="1">
      <alignment horizontal="center" vertical="center"/>
    </xf>
    <xf numFmtId="3" fontId="8" fillId="3" borderId="54" xfId="0" applyNumberFormat="1" applyFont="1" applyFill="1" applyBorder="1" applyAlignment="1">
      <alignment horizontal="center" vertical="center"/>
    </xf>
    <xf numFmtId="3" fontId="8" fillId="3" borderId="0" xfId="0" applyNumberFormat="1" applyFont="1" applyFill="1" applyBorder="1" applyAlignment="1">
      <alignment horizontal="center" vertical="center"/>
    </xf>
    <xf numFmtId="166" fontId="8" fillId="3" borderId="0" xfId="0" applyNumberFormat="1" applyFont="1" applyFill="1" applyBorder="1" applyAlignment="1">
      <alignment horizontal="center" vertical="center"/>
    </xf>
    <xf numFmtId="3" fontId="8" fillId="3" borderId="0" xfId="0" quotePrefix="1" applyNumberFormat="1" applyFont="1" applyFill="1" applyBorder="1" applyAlignment="1">
      <alignment horizontal="center" vertical="center"/>
    </xf>
    <xf numFmtId="0" fontId="8" fillId="3" borderId="0" xfId="0" applyFont="1" applyFill="1" applyBorder="1"/>
    <xf numFmtId="0" fontId="8" fillId="3" borderId="19" xfId="0" applyFont="1" applyFill="1" applyBorder="1" applyAlignment="1">
      <alignment horizontal="left" wrapText="1" indent="3"/>
    </xf>
    <xf numFmtId="0" fontId="8" fillId="3" borderId="0" xfId="0" applyFont="1" applyFill="1" applyBorder="1" applyAlignment="1">
      <alignment wrapText="1"/>
    </xf>
    <xf numFmtId="0" fontId="6" fillId="2" borderId="55" xfId="0" applyFont="1" applyFill="1" applyBorder="1" applyAlignment="1">
      <alignment horizontal="left" vertical="center" wrapText="1"/>
    </xf>
    <xf numFmtId="3" fontId="6" fillId="2" borderId="5" xfId="0" applyNumberFormat="1" applyFont="1" applyFill="1" applyBorder="1" applyAlignment="1">
      <alignment horizontal="center" vertical="center"/>
    </xf>
    <xf numFmtId="165" fontId="6" fillId="2" borderId="6" xfId="0" applyNumberFormat="1" applyFont="1" applyFill="1" applyBorder="1" applyAlignment="1">
      <alignment horizontal="center" vertical="center"/>
    </xf>
    <xf numFmtId="3" fontId="6" fillId="2" borderId="28" xfId="0" applyNumberFormat="1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left" vertical="center" wrapText="1"/>
    </xf>
    <xf numFmtId="165" fontId="4" fillId="2" borderId="27" xfId="0" applyNumberFormat="1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left" vertical="center" wrapText="1"/>
    </xf>
    <xf numFmtId="0" fontId="5" fillId="2" borderId="55" xfId="0" applyFont="1" applyFill="1" applyBorder="1" applyAlignment="1">
      <alignment horizontal="left" vertical="center"/>
    </xf>
    <xf numFmtId="0" fontId="5" fillId="2" borderId="57" xfId="0" applyFont="1" applyFill="1" applyBorder="1" applyAlignment="1">
      <alignment horizontal="left" vertical="center"/>
    </xf>
    <xf numFmtId="0" fontId="4" fillId="2" borderId="57" xfId="0" applyFont="1" applyFill="1" applyBorder="1" applyAlignment="1">
      <alignment horizontal="left" vertical="center"/>
    </xf>
    <xf numFmtId="0" fontId="4" fillId="2" borderId="76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19" xfId="0" applyFont="1" applyFill="1" applyBorder="1"/>
    <xf numFmtId="0" fontId="4" fillId="2" borderId="71" xfId="0" applyFont="1" applyFill="1" applyBorder="1"/>
    <xf numFmtId="3" fontId="4" fillId="2" borderId="7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53" xfId="0" applyNumberFormat="1" applyFont="1" applyFill="1" applyBorder="1" applyAlignment="1">
      <alignment horizontal="center" vertical="center"/>
    </xf>
    <xf numFmtId="166" fontId="4" fillId="2" borderId="9" xfId="0" applyNumberFormat="1" applyFont="1" applyFill="1" applyBorder="1" applyAlignment="1">
      <alignment horizontal="center" vertical="center"/>
    </xf>
    <xf numFmtId="166" fontId="4" fillId="2" borderId="9" xfId="0" applyNumberFormat="1" applyFont="1" applyFill="1" applyBorder="1" applyAlignment="1">
      <alignment horizontal="center"/>
    </xf>
    <xf numFmtId="166" fontId="4" fillId="2" borderId="1" xfId="0" applyNumberFormat="1" applyFont="1" applyFill="1" applyBorder="1" applyAlignment="1">
      <alignment horizontal="center"/>
    </xf>
    <xf numFmtId="166" fontId="4" fillId="2" borderId="11" xfId="0" applyNumberFormat="1" applyFont="1" applyFill="1" applyBorder="1" applyAlignment="1">
      <alignment horizontal="center"/>
    </xf>
    <xf numFmtId="166" fontId="4" fillId="2" borderId="12" xfId="0" applyNumberFormat="1" applyFont="1" applyFill="1" applyBorder="1" applyAlignment="1">
      <alignment horizontal="center"/>
    </xf>
    <xf numFmtId="166" fontId="4" fillId="2" borderId="39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left" wrapText="1"/>
    </xf>
    <xf numFmtId="0" fontId="8" fillId="2" borderId="9" xfId="0" applyFont="1" applyFill="1" applyBorder="1" applyAlignment="1">
      <alignment horizontal="justify" vertical="center" wrapText="1"/>
    </xf>
    <xf numFmtId="0" fontId="8" fillId="2" borderId="11" xfId="0" applyFont="1" applyFill="1" applyBorder="1" applyAlignment="1">
      <alignment horizontal="justify" vertical="center" wrapText="1"/>
    </xf>
    <xf numFmtId="0" fontId="8" fillId="2" borderId="82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left"/>
    </xf>
    <xf numFmtId="0" fontId="9" fillId="2" borderId="11" xfId="0" applyFont="1" applyFill="1" applyBorder="1" applyAlignment="1">
      <alignment horizontal="justify" vertical="center" wrapText="1"/>
    </xf>
    <xf numFmtId="3" fontId="6" fillId="2" borderId="12" xfId="0" applyNumberFormat="1" applyFont="1" applyFill="1" applyBorder="1" applyAlignment="1">
      <alignment horizontal="center" vertical="center" wrapText="1"/>
    </xf>
    <xf numFmtId="3" fontId="9" fillId="2" borderId="1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3" fontId="6" fillId="2" borderId="52" xfId="0" applyNumberFormat="1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/>
    </xf>
    <xf numFmtId="3" fontId="4" fillId="2" borderId="18" xfId="0" applyNumberFormat="1" applyFont="1" applyFill="1" applyBorder="1" applyAlignment="1">
      <alignment horizontal="center"/>
    </xf>
    <xf numFmtId="3" fontId="4" fillId="2" borderId="33" xfId="0" applyNumberFormat="1" applyFont="1" applyFill="1" applyBorder="1" applyAlignment="1">
      <alignment horizontal="center"/>
    </xf>
    <xf numFmtId="165" fontId="8" fillId="2" borderId="10" xfId="0" applyNumberFormat="1" applyFont="1" applyFill="1" applyBorder="1" applyAlignment="1">
      <alignment horizontal="center" vertical="center" wrapText="1"/>
    </xf>
    <xf numFmtId="165" fontId="8" fillId="2" borderId="49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10" fillId="2" borderId="82" xfId="0" applyFont="1" applyFill="1" applyBorder="1" applyAlignment="1">
      <alignment vertical="center" wrapText="1"/>
    </xf>
    <xf numFmtId="0" fontId="10" fillId="2" borderId="26" xfId="0" applyFont="1" applyFill="1" applyBorder="1" applyAlignment="1">
      <alignment horizontal="center" vertical="center" wrapText="1"/>
    </xf>
    <xf numFmtId="3" fontId="10" fillId="2" borderId="26" xfId="0" applyNumberFormat="1" applyFont="1" applyFill="1" applyBorder="1" applyAlignment="1">
      <alignment horizontal="center" vertical="center" wrapText="1"/>
    </xf>
    <xf numFmtId="0" fontId="10" fillId="2" borderId="51" xfId="0" applyFont="1" applyFill="1" applyBorder="1" applyAlignment="1">
      <alignment vertical="center" wrapText="1"/>
    </xf>
    <xf numFmtId="0" fontId="10" fillId="2" borderId="40" xfId="0" applyFont="1" applyFill="1" applyBorder="1" applyAlignment="1">
      <alignment horizontal="center" vertical="center" wrapText="1"/>
    </xf>
    <xf numFmtId="3" fontId="10" fillId="2" borderId="40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 wrapText="1"/>
    </xf>
    <xf numFmtId="3" fontId="9" fillId="2" borderId="5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3" fontId="8" fillId="2" borderId="27" xfId="0" applyNumberFormat="1" applyFont="1" applyFill="1" applyBorder="1" applyAlignment="1">
      <alignment horizontal="center" vertical="center" wrapText="1"/>
    </xf>
    <xf numFmtId="165" fontId="10" fillId="2" borderId="27" xfId="0" applyNumberFormat="1" applyFont="1" applyFill="1" applyBorder="1" applyAlignment="1">
      <alignment horizontal="center" vertical="center" wrapText="1"/>
    </xf>
    <xf numFmtId="165" fontId="10" fillId="2" borderId="10" xfId="0" applyNumberFormat="1" applyFont="1" applyFill="1" applyBorder="1" applyAlignment="1">
      <alignment horizontal="center" vertical="center" wrapText="1"/>
    </xf>
    <xf numFmtId="165" fontId="8" fillId="2" borderId="13" xfId="0" applyNumberFormat="1" applyFont="1" applyFill="1" applyBorder="1" applyAlignment="1">
      <alignment horizontal="center" vertical="center" wrapText="1"/>
    </xf>
    <xf numFmtId="165" fontId="10" fillId="2" borderId="49" xfId="0" applyNumberFormat="1" applyFont="1" applyFill="1" applyBorder="1" applyAlignment="1">
      <alignment horizontal="center" vertical="center" wrapText="1"/>
    </xf>
    <xf numFmtId="166" fontId="4" fillId="2" borderId="82" xfId="0" applyNumberFormat="1" applyFont="1" applyFill="1" applyBorder="1" applyAlignment="1">
      <alignment horizontal="center" vertical="center"/>
    </xf>
    <xf numFmtId="166" fontId="4" fillId="2" borderId="26" xfId="0" applyNumberFormat="1" applyFont="1" applyFill="1" applyBorder="1" applyAlignment="1">
      <alignment horizontal="center" vertical="center"/>
    </xf>
    <xf numFmtId="3" fontId="6" fillId="2" borderId="22" xfId="0" applyNumberFormat="1" applyFont="1" applyFill="1" applyBorder="1" applyAlignment="1">
      <alignment horizontal="center" vertical="center"/>
    </xf>
    <xf numFmtId="3" fontId="6" fillId="2" borderId="23" xfId="0" applyNumberFormat="1" applyFont="1" applyFill="1" applyBorder="1" applyAlignment="1">
      <alignment horizontal="center" vertical="center"/>
    </xf>
    <xf numFmtId="166" fontId="6" fillId="2" borderId="84" xfId="0" applyNumberFormat="1" applyFont="1" applyFill="1" applyBorder="1" applyAlignment="1">
      <alignment horizontal="center" vertical="center"/>
    </xf>
    <xf numFmtId="166" fontId="6" fillId="2" borderId="83" xfId="0" applyNumberFormat="1" applyFont="1" applyFill="1" applyBorder="1" applyAlignment="1">
      <alignment horizontal="center" vertical="center"/>
    </xf>
    <xf numFmtId="166" fontId="6" fillId="2" borderId="25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0" fillId="2" borderId="0" xfId="0" applyFont="1" applyFill="1" applyAlignment="1"/>
    <xf numFmtId="0" fontId="8" fillId="3" borderId="41" xfId="0" applyFont="1" applyFill="1" applyBorder="1" applyAlignment="1">
      <alignment wrapText="1"/>
    </xf>
    <xf numFmtId="3" fontId="8" fillId="3" borderId="82" xfId="0" applyNumberFormat="1" applyFont="1" applyFill="1" applyBorder="1" applyAlignment="1">
      <alignment horizontal="center" vertical="center"/>
    </xf>
    <xf numFmtId="3" fontId="8" fillId="3" borderId="26" xfId="0" quotePrefix="1" applyNumberFormat="1" applyFont="1" applyFill="1" applyBorder="1" applyAlignment="1">
      <alignment horizontal="center" vertical="center"/>
    </xf>
    <xf numFmtId="3" fontId="8" fillId="3" borderId="26" xfId="0" applyNumberFormat="1" applyFont="1" applyFill="1" applyBorder="1" applyAlignment="1">
      <alignment horizontal="center" vertical="center"/>
    </xf>
    <xf numFmtId="166" fontId="8" fillId="3" borderId="26" xfId="0" applyNumberFormat="1" applyFont="1" applyFill="1" applyBorder="1" applyAlignment="1">
      <alignment horizontal="center" vertical="center"/>
    </xf>
    <xf numFmtId="3" fontId="8" fillId="3" borderId="81" xfId="0" applyNumberFormat="1" applyFont="1" applyFill="1" applyBorder="1" applyAlignment="1">
      <alignment horizontal="center" vertical="center"/>
    </xf>
    <xf numFmtId="166" fontId="8" fillId="3" borderId="81" xfId="0" applyNumberFormat="1" applyFont="1" applyFill="1" applyBorder="1" applyAlignment="1">
      <alignment horizontal="center" vertical="center"/>
    </xf>
    <xf numFmtId="3" fontId="8" fillId="3" borderId="82" xfId="0" quotePrefix="1" applyNumberFormat="1" applyFont="1" applyFill="1" applyBorder="1" applyAlignment="1">
      <alignment horizontal="center" vertical="center"/>
    </xf>
    <xf numFmtId="166" fontId="4" fillId="2" borderId="12" xfId="0" quotePrefix="1" applyNumberFormat="1" applyFont="1" applyFill="1" applyBorder="1" applyAlignment="1">
      <alignment horizontal="center" vertical="center" wrapText="1"/>
    </xf>
    <xf numFmtId="165" fontId="4" fillId="2" borderId="12" xfId="0" quotePrefix="1" applyNumberFormat="1" applyFont="1" applyFill="1" applyBorder="1" applyAlignment="1">
      <alignment horizontal="center"/>
    </xf>
    <xf numFmtId="165" fontId="4" fillId="2" borderId="13" xfId="0" quotePrefix="1" applyNumberFormat="1" applyFont="1" applyFill="1" applyBorder="1" applyAlignment="1">
      <alignment horizontal="center"/>
    </xf>
    <xf numFmtId="0" fontId="4" fillId="2" borderId="33" xfId="0" applyFont="1" applyFill="1" applyBorder="1" applyAlignment="1">
      <alignment wrapText="1"/>
    </xf>
    <xf numFmtId="166" fontId="4" fillId="2" borderId="13" xfId="0" quotePrefix="1" applyNumberFormat="1" applyFont="1" applyFill="1" applyBorder="1" applyAlignment="1">
      <alignment horizontal="center" vertical="center" wrapText="1"/>
    </xf>
    <xf numFmtId="166" fontId="8" fillId="3" borderId="54" xfId="0" applyNumberFormat="1" applyFont="1" applyFill="1" applyBorder="1" applyAlignment="1">
      <alignment horizontal="center" vertical="center"/>
    </xf>
    <xf numFmtId="166" fontId="8" fillId="3" borderId="26" xfId="0" quotePrefix="1" applyNumberFormat="1" applyFont="1" applyFill="1" applyBorder="1" applyAlignment="1">
      <alignment horizontal="center" vertical="center"/>
    </xf>
    <xf numFmtId="166" fontId="8" fillId="3" borderId="2" xfId="0" quotePrefix="1" applyNumberFormat="1" applyFont="1" applyFill="1" applyBorder="1" applyAlignment="1">
      <alignment horizontal="center" vertical="center"/>
    </xf>
    <xf numFmtId="166" fontId="8" fillId="3" borderId="27" xfId="0" quotePrefix="1" applyNumberFormat="1" applyFont="1" applyFill="1" applyBorder="1" applyAlignment="1">
      <alignment horizontal="center" vertical="center"/>
    </xf>
    <xf numFmtId="166" fontId="8" fillId="3" borderId="8" xfId="0" quotePrefix="1" applyNumberFormat="1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wrapText="1"/>
    </xf>
    <xf numFmtId="3" fontId="6" fillId="2" borderId="82" xfId="0" applyNumberFormat="1" applyFont="1" applyFill="1" applyBorder="1" applyAlignment="1">
      <alignment horizontal="center" vertical="center" wrapText="1"/>
    </xf>
    <xf numFmtId="3" fontId="6" fillId="2" borderId="29" xfId="0" applyNumberFormat="1" applyFont="1" applyFill="1" applyBorder="1" applyAlignment="1">
      <alignment horizontal="center"/>
    </xf>
    <xf numFmtId="165" fontId="6" fillId="2" borderId="26" xfId="0" applyNumberFormat="1" applyFont="1" applyFill="1" applyBorder="1" applyAlignment="1">
      <alignment horizontal="center"/>
    </xf>
    <xf numFmtId="3" fontId="6" fillId="2" borderId="26" xfId="0" applyNumberFormat="1" applyFont="1" applyFill="1" applyBorder="1" applyAlignment="1">
      <alignment horizontal="center"/>
    </xf>
    <xf numFmtId="165" fontId="6" fillId="2" borderId="27" xfId="0" applyNumberFormat="1" applyFont="1" applyFill="1" applyBorder="1" applyAlignment="1">
      <alignment horizontal="center"/>
    </xf>
    <xf numFmtId="166" fontId="4" fillId="2" borderId="2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166" fontId="6" fillId="2" borderId="6" xfId="0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left" vertical="center" wrapText="1"/>
    </xf>
    <xf numFmtId="3" fontId="6" fillId="2" borderId="88" xfId="0" applyNumberFormat="1" applyFont="1" applyFill="1" applyBorder="1" applyAlignment="1">
      <alignment horizontal="center" vertical="center" wrapText="1"/>
    </xf>
    <xf numFmtId="3" fontId="6" fillId="2" borderId="89" xfId="0" applyNumberFormat="1" applyFont="1" applyFill="1" applyBorder="1" applyAlignment="1">
      <alignment horizontal="center" vertical="center" wrapText="1"/>
    </xf>
    <xf numFmtId="166" fontId="6" fillId="2" borderId="90" xfId="0" applyNumberFormat="1" applyFont="1" applyFill="1" applyBorder="1" applyAlignment="1">
      <alignment horizontal="center" vertical="center" wrapText="1"/>
    </xf>
    <xf numFmtId="166" fontId="6" fillId="2" borderId="91" xfId="0" applyNumberFormat="1" applyFont="1" applyFill="1" applyBorder="1" applyAlignment="1">
      <alignment horizontal="center" vertical="center" wrapText="1"/>
    </xf>
    <xf numFmtId="166" fontId="4" fillId="2" borderId="53" xfId="0" applyNumberFormat="1" applyFont="1" applyFill="1" applyBorder="1" applyAlignment="1">
      <alignment horizontal="center" vertical="center" wrapText="1"/>
    </xf>
    <xf numFmtId="166" fontId="4" fillId="2" borderId="47" xfId="0" applyNumberFormat="1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left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165" fontId="4" fillId="2" borderId="8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6" fillId="2" borderId="77" xfId="0" applyNumberFormat="1" applyFont="1" applyFill="1" applyBorder="1" applyAlignment="1">
      <alignment horizontal="center" vertical="center" wrapText="1"/>
    </xf>
    <xf numFmtId="166" fontId="4" fillId="2" borderId="59" xfId="0" applyNumberFormat="1" applyFont="1" applyFill="1" applyBorder="1" applyAlignment="1">
      <alignment horizontal="center" vertical="center" wrapText="1"/>
    </xf>
    <xf numFmtId="166" fontId="6" fillId="2" borderId="56" xfId="0" applyNumberFormat="1" applyFont="1" applyFill="1" applyBorder="1" applyAlignment="1">
      <alignment horizontal="center" vertical="center"/>
    </xf>
    <xf numFmtId="166" fontId="6" fillId="2" borderId="6" xfId="3" applyNumberFormat="1" applyFont="1" applyFill="1" applyBorder="1" applyAlignment="1">
      <alignment horizontal="center" vertical="center" wrapText="1"/>
    </xf>
    <xf numFmtId="166" fontId="6" fillId="2" borderId="52" xfId="0" applyNumberFormat="1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left" vertical="center"/>
    </xf>
    <xf numFmtId="3" fontId="4" fillId="2" borderId="43" xfId="0" applyNumberFormat="1" applyFont="1" applyFill="1" applyBorder="1" applyAlignment="1">
      <alignment horizontal="center" vertical="center"/>
    </xf>
    <xf numFmtId="3" fontId="4" fillId="2" borderId="21" xfId="0" applyNumberFormat="1" applyFont="1" applyFill="1" applyBorder="1" applyAlignment="1">
      <alignment horizontal="center" vertical="center"/>
    </xf>
    <xf numFmtId="3" fontId="4" fillId="2" borderId="59" xfId="0" applyNumberFormat="1" applyFont="1" applyFill="1" applyBorder="1" applyAlignment="1">
      <alignment horizontal="center" vertical="center"/>
    </xf>
    <xf numFmtId="3" fontId="4" fillId="2" borderId="42" xfId="0" applyNumberFormat="1" applyFont="1" applyFill="1" applyBorder="1" applyAlignment="1">
      <alignment horizontal="center" vertical="center"/>
    </xf>
    <xf numFmtId="3" fontId="4" fillId="2" borderId="20" xfId="0" applyNumberFormat="1" applyFont="1" applyFill="1" applyBorder="1" applyAlignment="1">
      <alignment horizontal="center" vertical="center"/>
    </xf>
    <xf numFmtId="3" fontId="4" fillId="2" borderId="72" xfId="0" applyNumberFormat="1" applyFont="1" applyFill="1" applyBorder="1" applyAlignment="1">
      <alignment horizontal="center" vertical="center"/>
    </xf>
    <xf numFmtId="166" fontId="6" fillId="2" borderId="89" xfId="0" applyNumberFormat="1" applyFont="1" applyFill="1" applyBorder="1" applyAlignment="1">
      <alignment horizontal="center" vertical="center" wrapText="1"/>
    </xf>
    <xf numFmtId="165" fontId="8" fillId="2" borderId="10" xfId="0" quotePrefix="1" applyNumberFormat="1" applyFont="1" applyFill="1" applyBorder="1" applyAlignment="1">
      <alignment horizontal="center" vertical="center" wrapText="1"/>
    </xf>
    <xf numFmtId="165" fontId="8" fillId="2" borderId="13" xfId="0" quotePrefix="1" applyNumberFormat="1" applyFont="1" applyFill="1" applyBorder="1" applyAlignment="1">
      <alignment horizontal="center" vertical="center" wrapText="1"/>
    </xf>
    <xf numFmtId="166" fontId="4" fillId="2" borderId="0" xfId="0" applyNumberFormat="1" applyFont="1" applyFill="1"/>
    <xf numFmtId="0" fontId="0" fillId="2" borderId="0" xfId="0" applyFont="1" applyFill="1" applyAlignment="1">
      <alignment horizontal="center" vertical="center"/>
    </xf>
    <xf numFmtId="165" fontId="4" fillId="2" borderId="0" xfId="0" applyNumberFormat="1" applyFont="1" applyFill="1" applyAlignment="1">
      <alignment horizontal="center" vertical="center"/>
    </xf>
    <xf numFmtId="165" fontId="0" fillId="2" borderId="0" xfId="0" applyNumberFormat="1" applyFont="1" applyFill="1"/>
    <xf numFmtId="165" fontId="0" fillId="2" borderId="0" xfId="0" applyNumberFormat="1" applyFont="1" applyFill="1" applyAlignment="1">
      <alignment horizontal="center" vertical="center"/>
    </xf>
    <xf numFmtId="3" fontId="0" fillId="2" borderId="0" xfId="0" applyNumberFormat="1" applyFont="1" applyFill="1"/>
    <xf numFmtId="165" fontId="4" fillId="2" borderId="0" xfId="0" applyNumberFormat="1" applyFont="1" applyFill="1"/>
    <xf numFmtId="0" fontId="4" fillId="2" borderId="33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/>
    </xf>
    <xf numFmtId="49" fontId="11" fillId="2" borderId="18" xfId="0" applyNumberFormat="1" applyFont="1" applyFill="1" applyBorder="1" applyAlignment="1">
      <alignment horizontal="left" vertical="center" wrapText="1" indent="1"/>
    </xf>
    <xf numFmtId="0" fontId="4" fillId="2" borderId="63" xfId="0" applyFont="1" applyFill="1" applyBorder="1" applyAlignment="1">
      <alignment horizontal="left" vertical="center" wrapText="1" indent="2"/>
    </xf>
    <xf numFmtId="3" fontId="4" fillId="2" borderId="7" xfId="0" quotePrefix="1" applyNumberFormat="1" applyFont="1" applyFill="1" applyBorder="1" applyAlignment="1">
      <alignment horizontal="center" vertical="center"/>
    </xf>
    <xf numFmtId="49" fontId="5" fillId="2" borderId="93" xfId="0" applyNumberFormat="1" applyFont="1" applyFill="1" applyBorder="1" applyAlignment="1">
      <alignment horizontal="left" vertical="center" wrapText="1" indent="1"/>
    </xf>
    <xf numFmtId="3" fontId="5" fillId="2" borderId="94" xfId="0" applyNumberFormat="1" applyFont="1" applyFill="1" applyBorder="1" applyAlignment="1">
      <alignment horizontal="center" vertical="center" wrapText="1"/>
    </xf>
    <xf numFmtId="166" fontId="5" fillId="2" borderId="94" xfId="0" applyNumberFormat="1" applyFont="1" applyFill="1" applyBorder="1" applyAlignment="1">
      <alignment horizontal="center" vertical="center" wrapText="1"/>
    </xf>
    <xf numFmtId="3" fontId="5" fillId="2" borderId="14" xfId="0" applyNumberFormat="1" applyFont="1" applyFill="1" applyBorder="1" applyAlignment="1">
      <alignment horizontal="center" vertical="center" wrapText="1"/>
    </xf>
    <xf numFmtId="49" fontId="11" fillId="2" borderId="18" xfId="0" applyNumberFormat="1" applyFont="1" applyFill="1" applyBorder="1" applyAlignment="1">
      <alignment horizontal="left" vertical="center" wrapText="1" indent="3"/>
    </xf>
    <xf numFmtId="0" fontId="12" fillId="2" borderId="67" xfId="0" applyFont="1" applyFill="1" applyBorder="1" applyAlignment="1">
      <alignment horizontal="left" vertical="center" wrapText="1" indent="3"/>
    </xf>
    <xf numFmtId="3" fontId="11" fillId="2" borderId="50" xfId="0" applyNumberFormat="1" applyFont="1" applyFill="1" applyBorder="1" applyAlignment="1">
      <alignment horizontal="center" vertical="center"/>
    </xf>
    <xf numFmtId="3" fontId="11" fillId="2" borderId="58" xfId="0" applyNumberFormat="1" applyFont="1" applyFill="1" applyBorder="1" applyAlignment="1">
      <alignment horizontal="center" vertical="center"/>
    </xf>
    <xf numFmtId="3" fontId="11" fillId="2" borderId="68" xfId="0" applyNumberFormat="1" applyFont="1" applyFill="1" applyBorder="1" applyAlignment="1">
      <alignment horizontal="center" vertical="center"/>
    </xf>
    <xf numFmtId="165" fontId="11" fillId="2" borderId="39" xfId="0" applyNumberFormat="1" applyFont="1" applyFill="1" applyBorder="1" applyAlignment="1">
      <alignment horizontal="center" vertical="center"/>
    </xf>
    <xf numFmtId="2" fontId="10" fillId="2" borderId="10" xfId="0" applyNumberFormat="1" applyFont="1" applyFill="1" applyBorder="1" applyAlignment="1">
      <alignment horizontal="center" vertical="center" wrapText="1"/>
    </xf>
    <xf numFmtId="49" fontId="6" fillId="2" borderId="55" xfId="0" applyNumberFormat="1" applyFont="1" applyFill="1" applyBorder="1" applyAlignment="1">
      <alignment horizontal="left" vertical="center" wrapText="1"/>
    </xf>
    <xf numFmtId="49" fontId="4" fillId="2" borderId="41" xfId="0" applyNumberFormat="1" applyFont="1" applyFill="1" applyBorder="1" applyAlignment="1">
      <alignment horizontal="left" vertical="center" wrapText="1" indent="3"/>
    </xf>
    <xf numFmtId="49" fontId="4" fillId="2" borderId="71" xfId="0" applyNumberFormat="1" applyFont="1" applyFill="1" applyBorder="1" applyAlignment="1">
      <alignment horizontal="left" vertical="center" wrapText="1" indent="3"/>
    </xf>
    <xf numFmtId="49" fontId="4" fillId="2" borderId="64" xfId="0" applyNumberFormat="1" applyFont="1" applyFill="1" applyBorder="1" applyAlignment="1">
      <alignment horizontal="left" vertical="center" wrapText="1" indent="5"/>
    </xf>
    <xf numFmtId="49" fontId="4" fillId="2" borderId="19" xfId="0" applyNumberFormat="1" applyFont="1" applyFill="1" applyBorder="1" applyAlignment="1">
      <alignment horizontal="left" vertical="center" wrapText="1" indent="5"/>
    </xf>
    <xf numFmtId="49" fontId="4" fillId="2" borderId="76" xfId="0" applyNumberFormat="1" applyFont="1" applyFill="1" applyBorder="1" applyAlignment="1">
      <alignment horizontal="left" vertical="center" wrapText="1" indent="5"/>
    </xf>
    <xf numFmtId="49" fontId="4" fillId="2" borderId="71" xfId="0" applyNumberFormat="1" applyFont="1" applyFill="1" applyBorder="1" applyAlignment="1">
      <alignment horizontal="left" vertical="center" wrapText="1" indent="5"/>
    </xf>
    <xf numFmtId="3" fontId="4" fillId="2" borderId="92" xfId="0" applyNumberFormat="1" applyFont="1" applyFill="1" applyBorder="1" applyAlignment="1">
      <alignment horizontal="center" vertical="center"/>
    </xf>
    <xf numFmtId="166" fontId="6" fillId="2" borderId="52" xfId="0" applyNumberFormat="1" applyFont="1" applyFill="1" applyBorder="1" applyAlignment="1">
      <alignment horizontal="center" vertical="center"/>
    </xf>
    <xf numFmtId="166" fontId="4" fillId="2" borderId="81" xfId="0" applyNumberFormat="1" applyFont="1" applyFill="1" applyBorder="1" applyAlignment="1">
      <alignment horizontal="center" vertical="center"/>
    </xf>
    <xf numFmtId="166" fontId="4" fillId="2" borderId="54" xfId="0" applyNumberFormat="1" applyFont="1" applyFill="1" applyBorder="1" applyAlignment="1">
      <alignment horizontal="center" vertical="center"/>
    </xf>
    <xf numFmtId="166" fontId="4" fillId="2" borderId="87" xfId="0" applyNumberFormat="1" applyFont="1" applyFill="1" applyBorder="1" applyAlignment="1">
      <alignment horizontal="center" vertical="center"/>
    </xf>
    <xf numFmtId="166" fontId="4" fillId="2" borderId="45" xfId="0" applyNumberFormat="1" applyFont="1" applyFill="1" applyBorder="1" applyAlignment="1">
      <alignment horizontal="center" vertical="center"/>
    </xf>
    <xf numFmtId="166" fontId="4" fillId="2" borderId="53" xfId="0" applyNumberFormat="1" applyFont="1" applyFill="1" applyBorder="1" applyAlignment="1">
      <alignment horizontal="center" vertical="center"/>
    </xf>
    <xf numFmtId="49" fontId="4" fillId="2" borderId="55" xfId="0" applyNumberFormat="1" applyFont="1" applyFill="1" applyBorder="1" applyAlignment="1">
      <alignment horizontal="left" vertical="center" wrapText="1"/>
    </xf>
    <xf numFmtId="49" fontId="4" fillId="2" borderId="57" xfId="0" applyNumberFormat="1" applyFont="1" applyFill="1" applyBorder="1" applyAlignment="1">
      <alignment horizontal="left" vertical="center" wrapText="1"/>
    </xf>
    <xf numFmtId="49" fontId="4" fillId="2" borderId="56" xfId="0" applyNumberFormat="1" applyFont="1" applyFill="1" applyBorder="1" applyAlignment="1">
      <alignment horizontal="left" vertical="center" wrapText="1"/>
    </xf>
    <xf numFmtId="3" fontId="4" fillId="2" borderId="10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wrapText="1"/>
    </xf>
    <xf numFmtId="3" fontId="4" fillId="2" borderId="10" xfId="0" applyNumberFormat="1" applyFont="1" applyFill="1" applyBorder="1" applyAlignment="1">
      <alignment horizontal="center" wrapText="1"/>
    </xf>
    <xf numFmtId="3" fontId="4" fillId="2" borderId="12" xfId="0" applyNumberFormat="1" applyFont="1" applyFill="1" applyBorder="1" applyAlignment="1">
      <alignment horizontal="center" wrapText="1"/>
    </xf>
    <xf numFmtId="3" fontId="4" fillId="2" borderId="13" xfId="0" applyNumberFormat="1" applyFont="1" applyFill="1" applyBorder="1" applyAlignment="1">
      <alignment horizontal="center" wrapText="1"/>
    </xf>
    <xf numFmtId="3" fontId="4" fillId="2" borderId="18" xfId="0" applyNumberFormat="1" applyFont="1" applyFill="1" applyBorder="1" applyAlignment="1">
      <alignment horizontal="center" vertical="center" wrapText="1"/>
    </xf>
    <xf numFmtId="3" fontId="4" fillId="2" borderId="18" xfId="0" applyNumberFormat="1" applyFont="1" applyFill="1" applyBorder="1" applyAlignment="1">
      <alignment horizontal="center" wrapText="1"/>
    </xf>
    <xf numFmtId="3" fontId="4" fillId="2" borderId="33" xfId="0" applyNumberFormat="1" applyFont="1" applyFill="1" applyBorder="1" applyAlignment="1">
      <alignment horizontal="center" wrapText="1"/>
    </xf>
    <xf numFmtId="3" fontId="4" fillId="2" borderId="77" xfId="0" applyNumberFormat="1" applyFont="1" applyFill="1" applyBorder="1" applyAlignment="1">
      <alignment horizontal="center" vertical="center"/>
    </xf>
    <xf numFmtId="3" fontId="4" fillId="2" borderId="21" xfId="0" applyNumberFormat="1" applyFont="1" applyFill="1" applyBorder="1" applyAlignment="1">
      <alignment horizontal="center"/>
    </xf>
    <xf numFmtId="3" fontId="4" fillId="2" borderId="59" xfId="0" applyNumberFormat="1" applyFont="1" applyFill="1" applyBorder="1" applyAlignment="1">
      <alignment horizontal="center"/>
    </xf>
    <xf numFmtId="166" fontId="6" fillId="2" borderId="86" xfId="0" applyNumberFormat="1" applyFont="1" applyFill="1" applyBorder="1" applyAlignment="1">
      <alignment horizontal="center" vertical="center"/>
    </xf>
    <xf numFmtId="166" fontId="4" fillId="2" borderId="45" xfId="0" applyNumberFormat="1" applyFont="1" applyFill="1" applyBorder="1" applyAlignment="1">
      <alignment horizontal="center"/>
    </xf>
    <xf numFmtId="166" fontId="4" fillId="2" borderId="54" xfId="0" applyNumberFormat="1" applyFont="1" applyFill="1" applyBorder="1" applyAlignment="1">
      <alignment horizontal="center"/>
    </xf>
    <xf numFmtId="166" fontId="6" fillId="2" borderId="87" xfId="0" applyNumberFormat="1" applyFont="1" applyFill="1" applyBorder="1" applyAlignment="1">
      <alignment horizontal="center" vertical="center"/>
    </xf>
    <xf numFmtId="166" fontId="4" fillId="2" borderId="47" xfId="0" applyNumberFormat="1" applyFont="1" applyFill="1" applyBorder="1" applyAlignment="1">
      <alignment horizontal="center" vertical="center"/>
    </xf>
    <xf numFmtId="167" fontId="4" fillId="2" borderId="10" xfId="0" applyNumberFormat="1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 wrapText="1"/>
    </xf>
    <xf numFmtId="3" fontId="8" fillId="2" borderId="9" xfId="0" applyNumberFormat="1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3" fontId="8" fillId="2" borderId="82" xfId="0" applyNumberFormat="1" applyFont="1" applyFill="1" applyBorder="1" applyAlignment="1">
      <alignment horizontal="center" vertical="center" wrapText="1"/>
    </xf>
    <xf numFmtId="3" fontId="8" fillId="2" borderId="11" xfId="0" applyNumberFormat="1" applyFont="1" applyFill="1" applyBorder="1" applyAlignment="1">
      <alignment horizontal="center" vertical="center" wrapText="1"/>
    </xf>
    <xf numFmtId="165" fontId="8" fillId="2" borderId="27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166" fontId="4" fillId="2" borderId="11" xfId="0" applyNumberFormat="1" applyFont="1" applyFill="1" applyBorder="1" applyAlignment="1">
      <alignment horizontal="center" vertical="center"/>
    </xf>
    <xf numFmtId="166" fontId="4" fillId="2" borderId="1" xfId="0" quotePrefix="1" applyNumberFormat="1" applyFont="1" applyFill="1" applyBorder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49" fontId="4" fillId="2" borderId="55" xfId="0" applyNumberFormat="1" applyFont="1" applyFill="1" applyBorder="1" applyAlignment="1">
      <alignment horizontal="left" vertical="center" wrapText="1" indent="2"/>
    </xf>
    <xf numFmtId="49" fontId="4" fillId="2" borderId="57" xfId="0" applyNumberFormat="1" applyFont="1" applyFill="1" applyBorder="1" applyAlignment="1">
      <alignment horizontal="left" vertical="center" wrapText="1" indent="2"/>
    </xf>
    <xf numFmtId="49" fontId="4" fillId="2" borderId="56" xfId="0" applyNumberFormat="1" applyFont="1" applyFill="1" applyBorder="1" applyAlignment="1">
      <alignment horizontal="left" vertical="center" wrapText="1" indent="2"/>
    </xf>
    <xf numFmtId="3" fontId="4" fillId="2" borderId="83" xfId="0" applyNumberFormat="1" applyFont="1" applyFill="1" applyBorder="1"/>
    <xf numFmtId="0" fontId="4" fillId="2" borderId="83" xfId="0" applyFont="1" applyFill="1" applyBorder="1" applyAlignment="1">
      <alignment horizontal="center" vertical="center"/>
    </xf>
    <xf numFmtId="3" fontId="4" fillId="2" borderId="1" xfId="0" quotePrefix="1" applyNumberFormat="1" applyFont="1" applyFill="1" applyBorder="1" applyAlignment="1">
      <alignment horizontal="center" vertical="center"/>
    </xf>
    <xf numFmtId="166" fontId="4" fillId="2" borderId="0" xfId="0" applyNumberFormat="1" applyFont="1" applyFill="1" applyAlignment="1">
      <alignment horizontal="center" vertical="center"/>
    </xf>
    <xf numFmtId="3" fontId="6" fillId="2" borderId="5" xfId="0" quotePrefix="1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4" fontId="4" fillId="2" borderId="0" xfId="0" applyNumberFormat="1" applyFont="1" applyFill="1" applyAlignment="1">
      <alignment horizontal="center" vertical="center"/>
    </xf>
    <xf numFmtId="3" fontId="6" fillId="2" borderId="95" xfId="0" applyNumberFormat="1" applyFont="1" applyFill="1" applyBorder="1" applyAlignment="1">
      <alignment horizontal="center" vertical="center" wrapText="1"/>
    </xf>
    <xf numFmtId="166" fontId="6" fillId="2" borderId="96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/>
    </xf>
    <xf numFmtId="3" fontId="8" fillId="2" borderId="51" xfId="0" applyNumberFormat="1" applyFont="1" applyFill="1" applyBorder="1" applyAlignment="1">
      <alignment horizontal="center" vertical="center" wrapText="1"/>
    </xf>
    <xf numFmtId="3" fontId="4" fillId="2" borderId="83" xfId="0" applyNumberFormat="1" applyFont="1" applyFill="1" applyBorder="1" applyAlignment="1">
      <alignment horizontal="left" vertical="center"/>
    </xf>
    <xf numFmtId="0" fontId="4" fillId="2" borderId="0" xfId="0" quotePrefix="1" applyFont="1" applyFill="1" applyAlignment="1">
      <alignment horizontal="center" vertical="center"/>
    </xf>
    <xf numFmtId="0" fontId="11" fillId="2" borderId="0" xfId="0" applyFont="1" applyFill="1"/>
    <xf numFmtId="0" fontId="17" fillId="2" borderId="67" xfId="0" applyFont="1" applyFill="1" applyBorder="1" applyAlignment="1">
      <alignment horizontal="left" vertical="center"/>
    </xf>
    <xf numFmtId="2" fontId="17" fillId="2" borderId="50" xfId="0" applyNumberFormat="1" applyFont="1" applyFill="1" applyBorder="1" applyAlignment="1">
      <alignment horizontal="center" vertical="center"/>
    </xf>
    <xf numFmtId="4" fontId="17" fillId="2" borderId="39" xfId="0" quotePrefix="1" applyNumberFormat="1" applyFont="1" applyFill="1" applyBorder="1" applyAlignment="1">
      <alignment horizontal="center" vertical="center"/>
    </xf>
    <xf numFmtId="2" fontId="16" fillId="2" borderId="0" xfId="0" applyNumberFormat="1" applyFont="1" applyFill="1" applyBorder="1" applyAlignment="1">
      <alignment horizontal="center" vertical="center"/>
    </xf>
    <xf numFmtId="4" fontId="16" fillId="2" borderId="0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0" fontId="16" fillId="2" borderId="41" xfId="0" applyFont="1" applyFill="1" applyBorder="1" applyAlignment="1">
      <alignment horizontal="left" vertical="center" wrapText="1"/>
    </xf>
    <xf numFmtId="0" fontId="16" fillId="2" borderId="19" xfId="0" applyFont="1" applyFill="1" applyBorder="1" applyAlignment="1">
      <alignment horizontal="left" vertical="center" indent="3"/>
    </xf>
    <xf numFmtId="0" fontId="16" fillId="2" borderId="19" xfId="0" applyFont="1" applyFill="1" applyBorder="1" applyAlignment="1">
      <alignment horizontal="left" vertical="center" wrapText="1" indent="3"/>
    </xf>
    <xf numFmtId="0" fontId="16" fillId="2" borderId="71" xfId="0" applyFont="1" applyFill="1" applyBorder="1" applyAlignment="1">
      <alignment horizontal="left" vertical="center" wrapText="1" indent="3"/>
    </xf>
    <xf numFmtId="2" fontId="16" fillId="2" borderId="11" xfId="0" applyNumberFormat="1" applyFont="1" applyFill="1" applyBorder="1" applyAlignment="1">
      <alignment horizontal="center" vertical="center"/>
    </xf>
    <xf numFmtId="166" fontId="4" fillId="2" borderId="18" xfId="0" applyNumberFormat="1" applyFont="1" applyFill="1" applyBorder="1" applyAlignment="1">
      <alignment horizontal="center" vertical="center"/>
    </xf>
    <xf numFmtId="166" fontId="4" fillId="2" borderId="33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left" vertical="center" wrapText="1"/>
    </xf>
    <xf numFmtId="49" fontId="4" fillId="2" borderId="0" xfId="0" applyNumberFormat="1" applyFont="1" applyFill="1" applyBorder="1" applyAlignment="1">
      <alignment horizontal="left" vertical="center" wrapText="1" indent="2"/>
    </xf>
    <xf numFmtId="0" fontId="4" fillId="2" borderId="0" xfId="0" applyFont="1" applyFill="1" applyBorder="1" applyAlignment="1">
      <alignment horizontal="center" vertical="center" wrapText="1"/>
    </xf>
    <xf numFmtId="3" fontId="4" fillId="2" borderId="97" xfId="0" applyNumberFormat="1" applyFont="1" applyFill="1" applyBorder="1"/>
    <xf numFmtId="3" fontId="9" fillId="2" borderId="12" xfId="0" applyNumberFormat="1" applyFont="1" applyFill="1" applyBorder="1" applyAlignment="1">
      <alignment horizontal="center" vertical="center" wrapText="1"/>
    </xf>
    <xf numFmtId="3" fontId="4" fillId="2" borderId="26" xfId="0" applyNumberFormat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wrapText="1"/>
    </xf>
    <xf numFmtId="166" fontId="6" fillId="2" borderId="0" xfId="0" applyNumberFormat="1" applyFont="1" applyFill="1" applyBorder="1" applyAlignment="1">
      <alignment horizontal="center" vertical="center"/>
    </xf>
    <xf numFmtId="166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166" fontId="4" fillId="2" borderId="0" xfId="0" applyNumberFormat="1" applyFont="1" applyFill="1" applyBorder="1" applyAlignment="1">
      <alignment horizontal="center"/>
    </xf>
    <xf numFmtId="3" fontId="0" fillId="2" borderId="0" xfId="0" applyNumberFormat="1" applyFont="1" applyFill="1" applyAlignment="1">
      <alignment horizontal="center" vertical="center"/>
    </xf>
    <xf numFmtId="165" fontId="0" fillId="2" borderId="0" xfId="0" applyNumberFormat="1" applyFont="1" applyFill="1" applyAlignment="1">
      <alignment horizontal="left" vertical="center"/>
    </xf>
    <xf numFmtId="166" fontId="4" fillId="2" borderId="8" xfId="0" applyNumberFormat="1" applyFont="1" applyFill="1" applyBorder="1" applyAlignment="1">
      <alignment horizontal="center"/>
    </xf>
    <xf numFmtId="165" fontId="8" fillId="2" borderId="0" xfId="0" applyNumberFormat="1" applyFont="1" applyFill="1" applyBorder="1" applyAlignment="1">
      <alignment horizontal="center" vertical="center" wrapText="1"/>
    </xf>
    <xf numFmtId="165" fontId="9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165" fontId="6" fillId="2" borderId="0" xfId="0" applyNumberFormat="1" applyFont="1" applyFill="1" applyBorder="1" applyAlignment="1">
      <alignment horizontal="center"/>
    </xf>
    <xf numFmtId="165" fontId="4" fillId="2" borderId="0" xfId="0" quotePrefix="1" applyNumberFormat="1" applyFont="1" applyFill="1" applyBorder="1" applyAlignment="1">
      <alignment horizontal="center"/>
    </xf>
    <xf numFmtId="166" fontId="8" fillId="3" borderId="0" xfId="0" quotePrefix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165" fontId="4" fillId="2" borderId="0" xfId="0" applyNumberFormat="1" applyFont="1" applyFill="1" applyBorder="1" applyAlignment="1">
      <alignment horizontal="center"/>
    </xf>
    <xf numFmtId="0" fontId="4" fillId="2" borderId="0" xfId="0" applyFont="1" applyFill="1" applyAlignment="1">
      <alignment wrapText="1"/>
    </xf>
    <xf numFmtId="3" fontId="4" fillId="2" borderId="98" xfId="0" applyNumberFormat="1" applyFont="1" applyFill="1" applyBorder="1" applyAlignment="1">
      <alignment horizontal="center" vertical="center"/>
    </xf>
    <xf numFmtId="166" fontId="4" fillId="2" borderId="7" xfId="0" applyNumberFormat="1" applyFont="1" applyFill="1" applyBorder="1" applyAlignment="1">
      <alignment horizontal="center" vertical="center"/>
    </xf>
    <xf numFmtId="166" fontId="4" fillId="2" borderId="34" xfId="0" applyNumberFormat="1" applyFont="1" applyFill="1" applyBorder="1" applyAlignment="1">
      <alignment horizontal="center" vertical="center"/>
    </xf>
    <xf numFmtId="3" fontId="4" fillId="2" borderId="8" xfId="0" applyNumberFormat="1" applyFont="1" applyFill="1" applyBorder="1" applyAlignment="1">
      <alignment horizontal="center" vertical="center" wrapText="1"/>
    </xf>
    <xf numFmtId="3" fontId="4" fillId="2" borderId="34" xfId="0" applyNumberFormat="1" applyFont="1" applyFill="1" applyBorder="1" applyAlignment="1">
      <alignment horizontal="center" vertical="center" wrapText="1"/>
    </xf>
    <xf numFmtId="3" fontId="4" fillId="2" borderId="35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28" xfId="0" applyNumberFormat="1" applyFont="1" applyFill="1" applyBorder="1" applyAlignment="1">
      <alignment horizontal="center" vertical="center" wrapText="1"/>
    </xf>
    <xf numFmtId="0" fontId="8" fillId="3" borderId="0" xfId="0" applyFont="1" applyFill="1" applyBorder="1" applyAlignment="1"/>
    <xf numFmtId="0" fontId="21" fillId="2" borderId="0" xfId="0" applyFont="1" applyFill="1"/>
    <xf numFmtId="0" fontId="21" fillId="2" borderId="1" xfId="0" applyFont="1" applyFill="1" applyBorder="1" applyAlignment="1">
      <alignment horizontal="center" vertical="center"/>
    </xf>
    <xf numFmtId="3" fontId="21" fillId="2" borderId="1" xfId="0" applyNumberFormat="1" applyFont="1" applyFill="1" applyBorder="1" applyAlignment="1">
      <alignment horizontal="center" vertical="center"/>
    </xf>
    <xf numFmtId="165" fontId="21" fillId="2" borderId="1" xfId="0" applyNumberFormat="1" applyFont="1" applyFill="1" applyBorder="1" applyAlignment="1">
      <alignment horizontal="center" vertical="center"/>
    </xf>
    <xf numFmtId="1" fontId="8" fillId="2" borderId="32" xfId="0" applyNumberFormat="1" applyFont="1" applyFill="1" applyBorder="1" applyAlignment="1">
      <alignment horizontal="center" vertical="center" wrapText="1"/>
    </xf>
    <xf numFmtId="1" fontId="8" fillId="2" borderId="18" xfId="0" applyNumberFormat="1" applyFont="1" applyFill="1" applyBorder="1" applyAlignment="1">
      <alignment horizontal="center" vertical="center" wrapText="1"/>
    </xf>
    <xf numFmtId="1" fontId="8" fillId="2" borderId="63" xfId="0" applyNumberFormat="1" applyFont="1" applyFill="1" applyBorder="1" applyAlignment="1">
      <alignment horizontal="center" vertical="center" wrapText="1"/>
    </xf>
    <xf numFmtId="1" fontId="4" fillId="2" borderId="18" xfId="0" applyNumberFormat="1" applyFont="1" applyFill="1" applyBorder="1" applyAlignment="1">
      <alignment horizontal="center"/>
    </xf>
    <xf numFmtId="1" fontId="8" fillId="2" borderId="18" xfId="0" quotePrefix="1" applyNumberFormat="1" applyFont="1" applyFill="1" applyBorder="1" applyAlignment="1">
      <alignment horizontal="center" vertical="center" wrapText="1"/>
    </xf>
    <xf numFmtId="165" fontId="4" fillId="2" borderId="10" xfId="0" applyNumberFormat="1" applyFont="1" applyFill="1" applyBorder="1" applyAlignment="1">
      <alignment horizontal="left"/>
    </xf>
    <xf numFmtId="165" fontId="8" fillId="2" borderId="10" xfId="0" quotePrefix="1" applyNumberFormat="1" applyFont="1" applyFill="1" applyBorder="1" applyAlignment="1">
      <alignment horizontal="left" vertical="center" wrapText="1"/>
    </xf>
    <xf numFmtId="165" fontId="9" fillId="2" borderId="0" xfId="2" applyNumberFormat="1" applyFont="1" applyFill="1" applyBorder="1" applyAlignment="1">
      <alignment horizontal="center" vertical="center" wrapText="1"/>
    </xf>
    <xf numFmtId="165" fontId="4" fillId="2" borderId="68" xfId="0" applyNumberFormat="1" applyFont="1" applyFill="1" applyBorder="1" applyAlignment="1">
      <alignment horizontal="center" vertical="center"/>
    </xf>
    <xf numFmtId="165" fontId="4" fillId="2" borderId="10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21" fillId="2" borderId="0" xfId="0" applyFont="1" applyFill="1" applyAlignment="1">
      <alignment horizontal="left" vertical="center"/>
    </xf>
    <xf numFmtId="0" fontId="21" fillId="2" borderId="1" xfId="0" applyFont="1" applyFill="1" applyBorder="1" applyAlignment="1">
      <alignment horizontal="left" vertical="center"/>
    </xf>
    <xf numFmtId="0" fontId="4" fillId="2" borderId="0" xfId="0" applyFont="1" applyFill="1" applyAlignment="1"/>
    <xf numFmtId="0" fontId="6" fillId="2" borderId="34" xfId="0" applyFont="1" applyFill="1" applyBorder="1" applyAlignment="1">
      <alignment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166" fontId="6" fillId="2" borderId="2" xfId="0" applyNumberFormat="1" applyFont="1" applyFill="1" applyBorder="1" applyAlignment="1">
      <alignment horizontal="center" vertical="center" wrapText="1"/>
    </xf>
    <xf numFmtId="3" fontId="6" fillId="2" borderId="35" xfId="0" applyNumberFormat="1" applyFont="1" applyFill="1" applyBorder="1" applyAlignment="1">
      <alignment horizontal="center" vertical="center" wrapText="1"/>
    </xf>
    <xf numFmtId="3" fontId="6" fillId="2" borderId="2" xfId="2" applyNumberFormat="1" applyFont="1" applyFill="1" applyBorder="1" applyAlignment="1">
      <alignment horizontal="center" vertical="center" wrapText="1"/>
    </xf>
    <xf numFmtId="166" fontId="6" fillId="2" borderId="8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3" fontId="4" fillId="2" borderId="84" xfId="0" applyNumberFormat="1" applyFont="1" applyFill="1" applyBorder="1" applyAlignment="1">
      <alignment horizontal="center" vertical="center"/>
    </xf>
    <xf numFmtId="3" fontId="4" fillId="2" borderId="80" xfId="0" applyNumberFormat="1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left" vertical="center" wrapText="1" indent="1"/>
    </xf>
    <xf numFmtId="3" fontId="8" fillId="3" borderId="29" xfId="0" quotePrefix="1" applyNumberFormat="1" applyFont="1" applyFill="1" applyBorder="1" applyAlignment="1">
      <alignment horizontal="center" vertical="center"/>
    </xf>
    <xf numFmtId="3" fontId="4" fillId="2" borderId="30" xfId="0" applyNumberFormat="1" applyFont="1" applyFill="1" applyBorder="1" applyAlignment="1">
      <alignment horizontal="center"/>
    </xf>
    <xf numFmtId="3" fontId="8" fillId="3" borderId="35" xfId="0" quotePrefix="1" applyNumberFormat="1" applyFont="1" applyFill="1" applyBorder="1" applyAlignment="1">
      <alignment horizontal="center" vertical="center"/>
    </xf>
    <xf numFmtId="166" fontId="8" fillId="3" borderId="10" xfId="0" applyNumberFormat="1" applyFont="1" applyFill="1" applyBorder="1" applyAlignment="1">
      <alignment horizontal="center" vertical="center"/>
    </xf>
    <xf numFmtId="166" fontId="8" fillId="3" borderId="13" xfId="0" applyNumberFormat="1" applyFont="1" applyFill="1" applyBorder="1" applyAlignment="1">
      <alignment horizontal="center" vertical="center"/>
    </xf>
    <xf numFmtId="166" fontId="5" fillId="2" borderId="10" xfId="0" applyNumberFormat="1" applyFont="1" applyFill="1" applyBorder="1" applyAlignment="1">
      <alignment horizontal="center" vertical="center"/>
    </xf>
    <xf numFmtId="166" fontId="5" fillId="2" borderId="13" xfId="0" applyNumberFormat="1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left" vertical="center" wrapText="1"/>
    </xf>
    <xf numFmtId="166" fontId="5" fillId="2" borderId="27" xfId="0" applyNumberFormat="1" applyFont="1" applyFill="1" applyBorder="1" applyAlignment="1">
      <alignment horizontal="center" vertical="center"/>
    </xf>
    <xf numFmtId="3" fontId="4" fillId="2" borderId="27" xfId="0" applyNumberFormat="1" applyFont="1" applyFill="1" applyBorder="1" applyAlignment="1">
      <alignment horizontal="center" vertical="center"/>
    </xf>
    <xf numFmtId="3" fontId="4" fillId="2" borderId="82" xfId="0" applyNumberFormat="1" applyFont="1" applyFill="1" applyBorder="1" applyAlignment="1">
      <alignment horizontal="center" vertical="center" wrapText="1"/>
    </xf>
    <xf numFmtId="3" fontId="4" fillId="2" borderId="32" xfId="0" applyNumberFormat="1" applyFont="1" applyFill="1" applyBorder="1" applyAlignment="1">
      <alignment horizontal="center" vertical="center" wrapText="1"/>
    </xf>
    <xf numFmtId="3" fontId="4" fillId="2" borderId="33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 wrapText="1"/>
    </xf>
    <xf numFmtId="0" fontId="0" fillId="2" borderId="0" xfId="0" applyFont="1" applyFill="1" applyBorder="1"/>
    <xf numFmtId="0" fontId="16" fillId="2" borderId="48" xfId="0" applyFont="1" applyFill="1" applyBorder="1" applyAlignment="1">
      <alignment horizontal="center" vertical="center"/>
    </xf>
    <xf numFmtId="2" fontId="17" fillId="2" borderId="39" xfId="0" applyNumberFormat="1" applyFont="1" applyFill="1" applyBorder="1" applyAlignment="1">
      <alignment horizontal="center" vertical="center"/>
    </xf>
    <xf numFmtId="2" fontId="17" fillId="2" borderId="0" xfId="0" applyNumberFormat="1" applyFont="1" applyFill="1" applyBorder="1" applyAlignment="1">
      <alignment horizontal="center" vertical="center"/>
    </xf>
    <xf numFmtId="4" fontId="17" fillId="2" borderId="38" xfId="0" quotePrefix="1" applyNumberFormat="1" applyFont="1" applyFill="1" applyBorder="1" applyAlignment="1">
      <alignment horizontal="center" vertical="center"/>
    </xf>
    <xf numFmtId="4" fontId="17" fillId="2" borderId="0" xfId="0" quotePrefix="1" applyNumberFormat="1" applyFont="1" applyFill="1" applyBorder="1" applyAlignment="1">
      <alignment horizontal="center" vertical="center"/>
    </xf>
    <xf numFmtId="166" fontId="17" fillId="2" borderId="50" xfId="0" applyNumberFormat="1" applyFont="1" applyFill="1" applyBorder="1" applyAlignment="1">
      <alignment horizontal="center" vertical="center"/>
    </xf>
    <xf numFmtId="2" fontId="16" fillId="2" borderId="0" xfId="0" applyNumberFormat="1" applyFont="1" applyFill="1" applyBorder="1" applyAlignment="1">
      <alignment horizontal="center" vertical="center" wrapText="1"/>
    </xf>
    <xf numFmtId="4" fontId="16" fillId="2" borderId="0" xfId="0" quotePrefix="1" applyNumberFormat="1" applyFont="1" applyFill="1" applyBorder="1" applyAlignment="1">
      <alignment horizontal="center" vertical="center"/>
    </xf>
    <xf numFmtId="0" fontId="16" fillId="2" borderId="99" xfId="0" applyFont="1" applyFill="1" applyBorder="1" applyAlignment="1">
      <alignment horizontal="left" vertical="center" wrapText="1"/>
    </xf>
    <xf numFmtId="2" fontId="16" fillId="2" borderId="49" xfId="0" applyNumberFormat="1" applyFont="1" applyFill="1" applyBorder="1" applyAlignment="1">
      <alignment horizontal="center" vertical="center"/>
    </xf>
    <xf numFmtId="166" fontId="16" fillId="2" borderId="51" xfId="0" quotePrefix="1" applyNumberFormat="1" applyFont="1" applyFill="1" applyBorder="1" applyAlignment="1">
      <alignment horizontal="center" vertical="center"/>
    </xf>
    <xf numFmtId="4" fontId="17" fillId="2" borderId="40" xfId="0" quotePrefix="1" applyNumberFormat="1" applyFont="1" applyFill="1" applyBorder="1" applyAlignment="1">
      <alignment horizontal="center" vertical="center"/>
    </xf>
    <xf numFmtId="166" fontId="16" fillId="2" borderId="13" xfId="0" quotePrefix="1" applyNumberFormat="1" applyFont="1" applyFill="1" applyBorder="1" applyAlignment="1">
      <alignment horizontal="center" vertical="center"/>
    </xf>
    <xf numFmtId="166" fontId="16" fillId="2" borderId="0" xfId="0" quotePrefix="1" applyNumberFormat="1" applyFont="1" applyFill="1" applyBorder="1" applyAlignment="1">
      <alignment horizontal="center" vertical="center"/>
    </xf>
    <xf numFmtId="166" fontId="16" fillId="2" borderId="51" xfId="0" applyNumberFormat="1" applyFont="1" applyFill="1" applyBorder="1" applyAlignment="1">
      <alignment horizontal="center" vertical="center"/>
    </xf>
    <xf numFmtId="166" fontId="16" fillId="2" borderId="49" xfId="0" quotePrefix="1" applyNumberFormat="1" applyFont="1" applyFill="1" applyBorder="1" applyAlignment="1">
      <alignment horizontal="center" vertical="center"/>
    </xf>
    <xf numFmtId="0" fontId="16" fillId="2" borderId="55" xfId="0" applyFont="1" applyFill="1" applyBorder="1" applyAlignment="1">
      <alignment horizontal="left" vertical="center" wrapText="1"/>
    </xf>
    <xf numFmtId="2" fontId="16" fillId="2" borderId="57" xfId="0" applyNumberFormat="1" applyFont="1" applyFill="1" applyBorder="1" applyAlignment="1">
      <alignment horizontal="center" vertical="center"/>
    </xf>
    <xf numFmtId="0" fontId="16" fillId="2" borderId="56" xfId="0" applyFont="1" applyFill="1" applyBorder="1" applyAlignment="1">
      <alignment horizontal="center" vertical="center" wrapText="1"/>
    </xf>
    <xf numFmtId="166" fontId="16" fillId="2" borderId="82" xfId="0" applyNumberFormat="1" applyFont="1" applyFill="1" applyBorder="1" applyAlignment="1">
      <alignment horizontal="center" vertical="center"/>
    </xf>
    <xf numFmtId="166" fontId="16" fillId="2" borderId="26" xfId="0" applyNumberFormat="1" applyFont="1" applyFill="1" applyBorder="1" applyAlignment="1">
      <alignment horizontal="center" vertical="center"/>
    </xf>
    <xf numFmtId="166" fontId="16" fillId="2" borderId="27" xfId="0" quotePrefix="1" applyNumberFormat="1" applyFont="1" applyFill="1" applyBorder="1" applyAlignment="1">
      <alignment horizontal="center" vertical="center"/>
    </xf>
    <xf numFmtId="166" fontId="16" fillId="2" borderId="27" xfId="0" applyNumberFormat="1" applyFont="1" applyFill="1" applyBorder="1" applyAlignment="1">
      <alignment horizontal="center" vertical="center"/>
    </xf>
    <xf numFmtId="166" fontId="16" fillId="2" borderId="9" xfId="0" applyNumberFormat="1" applyFont="1" applyFill="1" applyBorder="1" applyAlignment="1">
      <alignment horizontal="center" vertical="center"/>
    </xf>
    <xf numFmtId="166" fontId="16" fillId="2" borderId="1" xfId="0" applyNumberFormat="1" applyFont="1" applyFill="1" applyBorder="1" applyAlignment="1">
      <alignment horizontal="center" vertical="center"/>
    </xf>
    <xf numFmtId="166" fontId="16" fillId="2" borderId="10" xfId="0" quotePrefix="1" applyNumberFormat="1" applyFont="1" applyFill="1" applyBorder="1" applyAlignment="1">
      <alignment horizontal="center" vertical="center"/>
    </xf>
    <xf numFmtId="166" fontId="16" fillId="2" borderId="10" xfId="0" applyNumberFormat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 wrapText="1"/>
    </xf>
    <xf numFmtId="2" fontId="17" fillId="2" borderId="0" xfId="0" applyNumberFormat="1" applyFont="1" applyFill="1" applyBorder="1" applyAlignment="1">
      <alignment horizontal="center" vertical="center" wrapText="1"/>
    </xf>
    <xf numFmtId="165" fontId="23" fillId="2" borderId="0" xfId="0" applyNumberFormat="1" applyFont="1" applyFill="1" applyAlignment="1">
      <alignment horizontal="center" vertical="center"/>
    </xf>
    <xf numFmtId="0" fontId="16" fillId="2" borderId="19" xfId="0" applyFont="1" applyFill="1" applyBorder="1" applyAlignment="1">
      <alignment horizontal="left" vertical="center" wrapText="1"/>
    </xf>
    <xf numFmtId="4" fontId="16" fillId="2" borderId="9" xfId="0" quotePrefix="1" applyNumberFormat="1" applyFont="1" applyFill="1" applyBorder="1" applyAlignment="1">
      <alignment horizontal="center" vertical="center"/>
    </xf>
    <xf numFmtId="4" fontId="16" fillId="2" borderId="1" xfId="0" quotePrefix="1" applyNumberFormat="1" applyFont="1" applyFill="1" applyBorder="1" applyAlignment="1">
      <alignment horizontal="center" vertical="center"/>
    </xf>
    <xf numFmtId="4" fontId="16" fillId="2" borderId="10" xfId="0" quotePrefix="1" applyNumberFormat="1" applyFont="1" applyFill="1" applyBorder="1" applyAlignment="1">
      <alignment horizontal="center" vertical="center"/>
    </xf>
    <xf numFmtId="166" fontId="16" fillId="2" borderId="1" xfId="0" quotePrefix="1" applyNumberFormat="1" applyFont="1" applyFill="1" applyBorder="1" applyAlignment="1">
      <alignment horizontal="center" vertical="center"/>
    </xf>
    <xf numFmtId="0" fontId="16" fillId="2" borderId="71" xfId="0" applyFont="1" applyFill="1" applyBorder="1" applyAlignment="1">
      <alignment horizontal="left" vertical="center" wrapText="1"/>
    </xf>
    <xf numFmtId="4" fontId="16" fillId="2" borderId="11" xfId="0" quotePrefix="1" applyNumberFormat="1" applyFont="1" applyFill="1" applyBorder="1" applyAlignment="1">
      <alignment horizontal="center" vertical="center"/>
    </xf>
    <xf numFmtId="4" fontId="16" fillId="2" borderId="12" xfId="0" quotePrefix="1" applyNumberFormat="1" applyFont="1" applyFill="1" applyBorder="1" applyAlignment="1">
      <alignment horizontal="center" vertical="center"/>
    </xf>
    <xf numFmtId="4" fontId="16" fillId="2" borderId="13" xfId="0" quotePrefix="1" applyNumberFormat="1" applyFont="1" applyFill="1" applyBorder="1" applyAlignment="1">
      <alignment horizontal="center" vertical="center"/>
    </xf>
    <xf numFmtId="166" fontId="16" fillId="2" borderId="13" xfId="0" applyNumberFormat="1" applyFont="1" applyFill="1" applyBorder="1" applyAlignment="1">
      <alignment horizontal="center" vertical="center"/>
    </xf>
    <xf numFmtId="0" fontId="5" fillId="2" borderId="0" xfId="0" applyFont="1" applyFill="1"/>
    <xf numFmtId="4" fontId="24" fillId="2" borderId="0" xfId="0" applyNumberFormat="1" applyFont="1" applyFill="1" applyAlignment="1">
      <alignment horizontal="center" vertical="center"/>
    </xf>
    <xf numFmtId="166" fontId="24" fillId="2" borderId="0" xfId="0" applyNumberFormat="1" applyFont="1" applyFill="1" applyAlignment="1">
      <alignment horizontal="center" vertical="center"/>
    </xf>
    <xf numFmtId="166" fontId="24" fillId="2" borderId="0" xfId="0" applyNumberFormat="1" applyFont="1" applyFill="1" applyBorder="1" applyAlignment="1">
      <alignment horizontal="center" vertical="center"/>
    </xf>
    <xf numFmtId="166" fontId="24" fillId="2" borderId="0" xfId="0" applyNumberFormat="1" applyFont="1" applyFill="1" applyAlignment="1">
      <alignment horizontal="center" vertical="center" wrapText="1"/>
    </xf>
    <xf numFmtId="4" fontId="24" fillId="2" borderId="0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 wrapText="1"/>
    </xf>
    <xf numFmtId="165" fontId="17" fillId="2" borderId="50" xfId="0" applyNumberFormat="1" applyFont="1" applyFill="1" applyBorder="1" applyAlignment="1">
      <alignment horizontal="center" vertical="center"/>
    </xf>
    <xf numFmtId="2" fontId="9" fillId="2" borderId="55" xfId="0" quotePrefix="1" applyNumberFormat="1" applyFont="1" applyFill="1" applyBorder="1" applyAlignment="1">
      <alignment horizontal="center" vertical="center" wrapText="1"/>
    </xf>
    <xf numFmtId="0" fontId="14" fillId="2" borderId="99" xfId="5" quotePrefix="1" applyFill="1" applyBorder="1" applyAlignment="1">
      <alignment horizontal="center" vertical="center" wrapText="1"/>
    </xf>
    <xf numFmtId="2" fontId="9" fillId="2" borderId="6" xfId="0" applyNumberFormat="1" applyFont="1" applyFill="1" applyBorder="1" applyAlignment="1">
      <alignment horizontal="left" vertical="center" wrapText="1"/>
    </xf>
    <xf numFmtId="0" fontId="14" fillId="2" borderId="49" xfId="5" quotePrefix="1" applyFill="1" applyBorder="1" applyAlignment="1">
      <alignment horizontal="left" vertical="center" wrapText="1"/>
    </xf>
    <xf numFmtId="0" fontId="2" fillId="2" borderId="99" xfId="6" quotePrefix="1" applyFill="1" applyBorder="1" applyAlignment="1">
      <alignment horizontal="center" vertical="center" wrapText="1"/>
    </xf>
    <xf numFmtId="0" fontId="2" fillId="2" borderId="49" xfId="6" quotePrefix="1" applyFill="1" applyBorder="1" applyAlignment="1">
      <alignment horizontal="left" vertical="center" wrapText="1"/>
    </xf>
    <xf numFmtId="0" fontId="14" fillId="2" borderId="99" xfId="7" quotePrefix="1" applyFill="1" applyBorder="1" applyAlignment="1">
      <alignment horizontal="center" vertical="center" wrapText="1"/>
    </xf>
    <xf numFmtId="0" fontId="14" fillId="2" borderId="49" xfId="7" quotePrefix="1" applyFill="1" applyBorder="1" applyAlignment="1">
      <alignment horizontal="left" vertical="center" wrapText="1"/>
    </xf>
    <xf numFmtId="0" fontId="14" fillId="2" borderId="100" xfId="5" quotePrefix="1" applyFill="1" applyBorder="1" applyAlignment="1">
      <alignment horizontal="center" vertical="center" wrapText="1"/>
    </xf>
    <xf numFmtId="0" fontId="14" fillId="2" borderId="101" xfId="5" quotePrefix="1" applyFill="1" applyBorder="1" applyAlignment="1">
      <alignment horizontal="left" vertical="center" wrapText="1"/>
    </xf>
    <xf numFmtId="0" fontId="27" fillId="2" borderId="0" xfId="0" applyFont="1" applyFill="1" applyAlignment="1">
      <alignment horizontal="left" vertical="center"/>
    </xf>
    <xf numFmtId="0" fontId="29" fillId="2" borderId="0" xfId="0" applyFont="1" applyFill="1"/>
    <xf numFmtId="0" fontId="29" fillId="2" borderId="0" xfId="0" applyFont="1" applyFill="1" applyBorder="1"/>
    <xf numFmtId="0" fontId="6" fillId="2" borderId="0" xfId="0" applyFont="1" applyFill="1"/>
    <xf numFmtId="0" fontId="27" fillId="2" borderId="0" xfId="0" applyFont="1" applyFill="1"/>
    <xf numFmtId="0" fontId="4" fillId="5" borderId="12" xfId="0" applyFont="1" applyFill="1" applyBorder="1" applyAlignment="1">
      <alignment horizontal="center" vertical="center" wrapText="1"/>
    </xf>
    <xf numFmtId="0" fontId="4" fillId="5" borderId="58" xfId="0" applyFont="1" applyFill="1" applyBorder="1" applyAlignment="1">
      <alignment horizontal="center" vertical="center" wrapText="1"/>
    </xf>
    <xf numFmtId="14" fontId="4" fillId="5" borderId="57" xfId="0" applyNumberFormat="1" applyFont="1" applyFill="1" applyBorder="1" applyAlignment="1">
      <alignment horizontal="center" vertical="center" wrapText="1"/>
    </xf>
    <xf numFmtId="14" fontId="4" fillId="5" borderId="4" xfId="0" applyNumberFormat="1" applyFont="1" applyFill="1" applyBorder="1" applyAlignment="1">
      <alignment horizontal="center" vertical="center" wrapText="1"/>
    </xf>
    <xf numFmtId="14" fontId="4" fillId="5" borderId="3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14" fontId="4" fillId="5" borderId="52" xfId="0" applyNumberFormat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left" vertical="center" wrapText="1"/>
    </xf>
    <xf numFmtId="3" fontId="6" fillId="5" borderId="57" xfId="0" applyNumberFormat="1" applyFont="1" applyFill="1" applyBorder="1" applyAlignment="1">
      <alignment horizontal="center" vertical="center"/>
    </xf>
    <xf numFmtId="3" fontId="6" fillId="5" borderId="4" xfId="0" applyNumberFormat="1" applyFont="1" applyFill="1" applyBorder="1" applyAlignment="1">
      <alignment horizontal="center" vertical="center"/>
    </xf>
    <xf numFmtId="3" fontId="6" fillId="5" borderId="3" xfId="0" applyNumberFormat="1" applyFont="1" applyFill="1" applyBorder="1" applyAlignment="1">
      <alignment horizontal="center" vertical="center"/>
    </xf>
    <xf numFmtId="3" fontId="6" fillId="5" borderId="6" xfId="0" applyNumberFormat="1" applyFont="1" applyFill="1" applyBorder="1" applyAlignment="1">
      <alignment horizontal="center" vertical="center"/>
    </xf>
    <xf numFmtId="166" fontId="6" fillId="5" borderId="52" xfId="0" applyNumberFormat="1" applyFont="1" applyFill="1" applyBorder="1" applyAlignment="1">
      <alignment horizontal="center" vertical="center"/>
    </xf>
    <xf numFmtId="166" fontId="6" fillId="5" borderId="4" xfId="0" applyNumberFormat="1" applyFont="1" applyFill="1" applyBorder="1" applyAlignment="1">
      <alignment horizontal="center" vertical="center"/>
    </xf>
    <xf numFmtId="166" fontId="6" fillId="5" borderId="3" xfId="0" applyNumberFormat="1" applyFont="1" applyFill="1" applyBorder="1" applyAlignment="1">
      <alignment horizontal="center" vertical="center"/>
    </xf>
    <xf numFmtId="166" fontId="6" fillId="5" borderId="6" xfId="0" applyNumberFormat="1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left" vertical="center" wrapText="1"/>
    </xf>
    <xf numFmtId="3" fontId="4" fillId="5" borderId="20" xfId="0" applyNumberFormat="1" applyFont="1" applyFill="1" applyBorder="1" applyAlignment="1">
      <alignment horizontal="center" vertical="center"/>
    </xf>
    <xf numFmtId="3" fontId="4" fillId="5" borderId="9" xfId="0" applyNumberFormat="1" applyFont="1" applyFill="1" applyBorder="1" applyAlignment="1">
      <alignment horizontal="center" vertical="center"/>
    </xf>
    <xf numFmtId="3" fontId="4" fillId="5" borderId="18" xfId="0" applyNumberFormat="1" applyFont="1" applyFill="1" applyBorder="1" applyAlignment="1">
      <alignment horizontal="center" vertical="center"/>
    </xf>
    <xf numFmtId="3" fontId="4" fillId="5" borderId="10" xfId="0" applyNumberFormat="1" applyFont="1" applyFill="1" applyBorder="1" applyAlignment="1">
      <alignment horizontal="center" vertical="center"/>
    </xf>
    <xf numFmtId="166" fontId="4" fillId="5" borderId="45" xfId="0" applyNumberFormat="1" applyFont="1" applyFill="1" applyBorder="1" applyAlignment="1">
      <alignment horizontal="center" vertical="center"/>
    </xf>
    <xf numFmtId="166" fontId="4" fillId="5" borderId="9" xfId="0" applyNumberFormat="1" applyFont="1" applyFill="1" applyBorder="1" applyAlignment="1">
      <alignment horizontal="center" vertical="center"/>
    </xf>
    <xf numFmtId="166" fontId="4" fillId="5" borderId="18" xfId="0" applyNumberFormat="1" applyFont="1" applyFill="1" applyBorder="1" applyAlignment="1">
      <alignment horizontal="center" vertical="center"/>
    </xf>
    <xf numFmtId="166" fontId="4" fillId="5" borderId="10" xfId="0" applyNumberFormat="1" applyFont="1" applyFill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left" vertical="center" wrapText="1"/>
    </xf>
    <xf numFmtId="0" fontId="4" fillId="5" borderId="23" xfId="0" applyFont="1" applyFill="1" applyBorder="1" applyAlignment="1">
      <alignment horizontal="left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left" vertical="center" wrapText="1"/>
    </xf>
    <xf numFmtId="0" fontId="4" fillId="5" borderId="92" xfId="0" applyFont="1" applyFill="1" applyBorder="1" applyAlignment="1">
      <alignment horizontal="left" vertical="center" wrapText="1"/>
    </xf>
    <xf numFmtId="0" fontId="4" fillId="5" borderId="24" xfId="0" applyFont="1" applyFill="1" applyBorder="1" applyAlignment="1">
      <alignment horizontal="center" vertical="center" wrapText="1"/>
    </xf>
    <xf numFmtId="3" fontId="6" fillId="5" borderId="5" xfId="0" applyNumberFormat="1" applyFont="1" applyFill="1" applyBorder="1" applyAlignment="1">
      <alignment horizontal="center" vertical="center"/>
    </xf>
    <xf numFmtId="3" fontId="6" fillId="5" borderId="28" xfId="0" applyNumberFormat="1" applyFont="1" applyFill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166" fontId="5" fillId="5" borderId="10" xfId="0" applyNumberFormat="1" applyFont="1" applyFill="1" applyBorder="1" applyAlignment="1">
      <alignment horizontal="center" vertical="center"/>
    </xf>
    <xf numFmtId="3" fontId="4" fillId="5" borderId="9" xfId="0" applyNumberFormat="1" applyFont="1" applyFill="1" applyBorder="1" applyAlignment="1">
      <alignment horizontal="center" vertical="center" wrapText="1"/>
    </xf>
    <xf numFmtId="3" fontId="4" fillId="5" borderId="18" xfId="0" applyNumberFormat="1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166" fontId="5" fillId="2" borderId="7" xfId="0" applyNumberFormat="1" applyFont="1" applyFill="1" applyBorder="1" applyAlignment="1">
      <alignment horizontal="center" vertical="center"/>
    </xf>
    <xf numFmtId="166" fontId="5" fillId="2" borderId="9" xfId="0" applyNumberFormat="1" applyFont="1" applyFill="1" applyBorder="1" applyAlignment="1">
      <alignment horizontal="center" vertical="center"/>
    </xf>
    <xf numFmtId="166" fontId="5" fillId="5" borderId="9" xfId="0" applyNumberFormat="1" applyFont="1" applyFill="1" applyBorder="1" applyAlignment="1">
      <alignment horizontal="center" vertical="center"/>
    </xf>
    <xf numFmtId="166" fontId="5" fillId="2" borderId="11" xfId="0" applyNumberFormat="1" applyFont="1" applyFill="1" applyBorder="1" applyAlignment="1">
      <alignment horizontal="center" vertical="center"/>
    </xf>
    <xf numFmtId="49" fontId="4" fillId="5" borderId="34" xfId="0" applyNumberFormat="1" applyFont="1" applyFill="1" applyBorder="1" applyAlignment="1">
      <alignment horizontal="left" vertical="center" wrapText="1"/>
    </xf>
    <xf numFmtId="3" fontId="4" fillId="5" borderId="7" xfId="0" applyNumberFormat="1" applyFont="1" applyFill="1" applyBorder="1" applyAlignment="1">
      <alignment horizontal="center" vertical="center"/>
    </xf>
    <xf numFmtId="166" fontId="4" fillId="5" borderId="77" xfId="0" applyNumberFormat="1" applyFont="1" applyFill="1" applyBorder="1" applyAlignment="1">
      <alignment horizontal="center" vertical="center"/>
    </xf>
    <xf numFmtId="3" fontId="4" fillId="5" borderId="34" xfId="0" applyNumberFormat="1" applyFont="1" applyFill="1" applyBorder="1" applyAlignment="1">
      <alignment horizontal="center" vertical="center"/>
    </xf>
    <xf numFmtId="49" fontId="4" fillId="5" borderId="18" xfId="0" applyNumberFormat="1" applyFont="1" applyFill="1" applyBorder="1" applyAlignment="1">
      <alignment horizontal="left" vertical="center" wrapText="1"/>
    </xf>
    <xf numFmtId="166" fontId="4" fillId="5" borderId="21" xfId="0" applyNumberFormat="1" applyFont="1" applyFill="1" applyBorder="1" applyAlignment="1">
      <alignment horizontal="center" vertical="center"/>
    </xf>
    <xf numFmtId="49" fontId="4" fillId="5" borderId="79" xfId="0" applyNumberFormat="1" applyFont="1" applyFill="1" applyBorder="1" applyAlignment="1">
      <alignment horizontal="left" vertical="center" wrapText="1"/>
    </xf>
    <xf numFmtId="3" fontId="4" fillId="5" borderId="75" xfId="0" applyNumberFormat="1" applyFont="1" applyFill="1" applyBorder="1" applyAlignment="1">
      <alignment horizontal="center" vertical="center"/>
    </xf>
    <xf numFmtId="166" fontId="4" fillId="5" borderId="70" xfId="0" applyNumberFormat="1" applyFont="1" applyFill="1" applyBorder="1" applyAlignment="1">
      <alignment horizontal="center" vertical="center"/>
    </xf>
    <xf numFmtId="3" fontId="4" fillId="5" borderId="79" xfId="0" applyNumberFormat="1" applyFont="1" applyFill="1" applyBorder="1" applyAlignment="1">
      <alignment horizontal="center" vertical="center"/>
    </xf>
    <xf numFmtId="0" fontId="30" fillId="2" borderId="0" xfId="0" applyFont="1" applyFill="1"/>
    <xf numFmtId="0" fontId="31" fillId="2" borderId="0" xfId="0" applyFont="1" applyFill="1"/>
    <xf numFmtId="0" fontId="7" fillId="2" borderId="64" xfId="0" applyFont="1" applyFill="1" applyBorder="1" applyAlignment="1">
      <alignment horizontal="center" vertical="center" wrapText="1"/>
    </xf>
    <xf numFmtId="49" fontId="7" fillId="2" borderId="65" xfId="0" applyNumberFormat="1" applyFont="1" applyFill="1" applyBorder="1" applyAlignment="1">
      <alignment horizontal="center" vertical="center"/>
    </xf>
    <xf numFmtId="49" fontId="7" fillId="2" borderId="66" xfId="0" applyNumberFormat="1" applyFont="1" applyFill="1" applyBorder="1" applyAlignment="1">
      <alignment horizontal="center" vertical="center" wrapText="1"/>
    </xf>
    <xf numFmtId="0" fontId="32" fillId="2" borderId="102" xfId="0" applyFont="1" applyFill="1" applyBorder="1" applyAlignment="1">
      <alignment horizontal="left" vertical="center" wrapText="1"/>
    </xf>
    <xf numFmtId="0" fontId="32" fillId="2" borderId="103" xfId="0" applyFont="1" applyFill="1" applyBorder="1" applyAlignment="1">
      <alignment horizontal="center" vertical="center"/>
    </xf>
    <xf numFmtId="0" fontId="32" fillId="2" borderId="104" xfId="0" applyFont="1" applyFill="1" applyBorder="1" applyAlignment="1">
      <alignment horizontal="center" vertical="center"/>
    </xf>
    <xf numFmtId="165" fontId="32" fillId="2" borderId="103" xfId="0" applyNumberFormat="1" applyFont="1" applyFill="1" applyBorder="1" applyAlignment="1">
      <alignment horizontal="center" vertical="center"/>
    </xf>
    <xf numFmtId="165" fontId="32" fillId="2" borderId="104" xfId="0" applyNumberFormat="1" applyFont="1" applyFill="1" applyBorder="1" applyAlignment="1">
      <alignment horizontal="center" vertical="center"/>
    </xf>
    <xf numFmtId="165" fontId="32" fillId="2" borderId="105" xfId="0" applyNumberFormat="1" applyFont="1" applyFill="1" applyBorder="1" applyAlignment="1">
      <alignment horizontal="center" vertical="center"/>
    </xf>
    <xf numFmtId="165" fontId="32" fillId="2" borderId="106" xfId="0" applyNumberFormat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center" vertical="center"/>
    </xf>
    <xf numFmtId="165" fontId="7" fillId="2" borderId="17" xfId="0" applyNumberFormat="1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left" vertical="center" wrapText="1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53" xfId="0" applyNumberFormat="1" applyFont="1" applyFill="1" applyBorder="1" applyAlignment="1">
      <alignment horizontal="center" vertical="center"/>
    </xf>
    <xf numFmtId="165" fontId="7" fillId="2" borderId="107" xfId="0" applyNumberFormat="1" applyFont="1" applyFill="1" applyBorder="1" applyAlignment="1">
      <alignment horizontal="center" vertical="center"/>
    </xf>
    <xf numFmtId="165" fontId="7" fillId="2" borderId="35" xfId="0" applyNumberFormat="1" applyFont="1" applyFill="1" applyBorder="1" applyAlignment="1">
      <alignment horizontal="center" vertical="center"/>
    </xf>
    <xf numFmtId="165" fontId="7" fillId="2" borderId="77" xfId="0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left"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165" fontId="7" fillId="2" borderId="45" xfId="0" applyNumberFormat="1" applyFont="1" applyFill="1" applyBorder="1" applyAlignment="1">
      <alignment horizontal="center" vertical="center"/>
    </xf>
    <xf numFmtId="165" fontId="7" fillId="2" borderId="30" xfId="0" applyNumberFormat="1" applyFont="1" applyFill="1" applyBorder="1" applyAlignment="1">
      <alignment horizontal="center" vertical="center"/>
    </xf>
    <xf numFmtId="165" fontId="7" fillId="2" borderId="21" xfId="0" applyNumberFormat="1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left" vertical="center" wrapText="1"/>
    </xf>
    <xf numFmtId="165" fontId="7" fillId="2" borderId="12" xfId="0" applyNumberFormat="1" applyFont="1" applyFill="1" applyBorder="1" applyAlignment="1">
      <alignment horizontal="center" vertical="center"/>
    </xf>
    <xf numFmtId="165" fontId="7" fillId="2" borderId="54" xfId="0" applyNumberFormat="1" applyFont="1" applyFill="1" applyBorder="1" applyAlignment="1">
      <alignment horizontal="center" vertical="center"/>
    </xf>
    <xf numFmtId="165" fontId="7" fillId="2" borderId="31" xfId="0" applyNumberFormat="1" applyFont="1" applyFill="1" applyBorder="1" applyAlignment="1">
      <alignment horizontal="center" vertical="center"/>
    </xf>
    <xf numFmtId="165" fontId="7" fillId="2" borderId="59" xfId="0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49" fontId="7" fillId="5" borderId="5" xfId="0" applyNumberFormat="1" applyFont="1" applyFill="1" applyBorder="1" applyAlignment="1">
      <alignment horizontal="center" vertical="center"/>
    </xf>
    <xf numFmtId="49" fontId="7" fillId="5" borderId="52" xfId="0" applyNumberFormat="1" applyFont="1" applyFill="1" applyBorder="1" applyAlignment="1">
      <alignment horizontal="center" vertical="center"/>
    </xf>
    <xf numFmtId="49" fontId="7" fillId="5" borderId="28" xfId="0" applyNumberFormat="1" applyFont="1" applyFill="1" applyBorder="1" applyAlignment="1">
      <alignment horizontal="center" vertical="center"/>
    </xf>
    <xf numFmtId="49" fontId="7" fillId="5" borderId="56" xfId="0" applyNumberFormat="1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8" fillId="5" borderId="81" xfId="0" applyFont="1" applyFill="1" applyBorder="1" applyAlignment="1">
      <alignment horizontal="right" vertical="center" wrapText="1"/>
    </xf>
    <xf numFmtId="0" fontId="8" fillId="5" borderId="43" xfId="0" applyFont="1" applyFill="1" applyBorder="1" applyAlignment="1">
      <alignment horizontal="center" vertical="center" wrapText="1"/>
    </xf>
    <xf numFmtId="0" fontId="8" fillId="5" borderId="50" xfId="0" applyFont="1" applyFill="1" applyBorder="1" applyAlignment="1">
      <alignment horizontal="center" vertical="center" wrapText="1"/>
    </xf>
    <xf numFmtId="0" fontId="8" fillId="5" borderId="38" xfId="0" applyFont="1" applyFill="1" applyBorder="1" applyAlignment="1">
      <alignment horizontal="center" vertical="center" wrapText="1"/>
    </xf>
    <xf numFmtId="0" fontId="8" fillId="5" borderId="39" xfId="0" applyFont="1" applyFill="1" applyBorder="1" applyAlignment="1">
      <alignment horizontal="center" vertical="center" wrapText="1"/>
    </xf>
    <xf numFmtId="0" fontId="4" fillId="5" borderId="46" xfId="0" applyFont="1" applyFill="1" applyBorder="1" applyAlignment="1">
      <alignment horizontal="center" vertical="center"/>
    </xf>
    <xf numFmtId="0" fontId="4" fillId="5" borderId="40" xfId="0" applyFont="1" applyFill="1" applyBorder="1" applyAlignment="1">
      <alignment horizontal="center" vertical="center"/>
    </xf>
    <xf numFmtId="0" fontId="4" fillId="5" borderId="45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 wrapText="1"/>
    </xf>
    <xf numFmtId="0" fontId="4" fillId="5" borderId="48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16" fillId="5" borderId="24" xfId="0" applyFont="1" applyFill="1" applyBorder="1" applyAlignment="1">
      <alignment horizontal="center" vertical="center" wrapText="1"/>
    </xf>
    <xf numFmtId="0" fontId="16" fillId="5" borderId="50" xfId="0" applyFont="1" applyFill="1" applyBorder="1" applyAlignment="1">
      <alignment horizontal="center" vertical="center" wrapText="1"/>
    </xf>
    <xf numFmtId="0" fontId="16" fillId="5" borderId="39" xfId="0" applyFont="1" applyFill="1" applyBorder="1" applyAlignment="1">
      <alignment horizontal="center" vertical="center" wrapText="1"/>
    </xf>
    <xf numFmtId="0" fontId="16" fillId="5" borderId="38" xfId="0" applyFont="1" applyFill="1" applyBorder="1" applyAlignment="1">
      <alignment horizontal="center" vertical="center" wrapText="1"/>
    </xf>
    <xf numFmtId="0" fontId="16" fillId="5" borderId="64" xfId="0" applyFont="1" applyFill="1" applyBorder="1" applyAlignment="1">
      <alignment horizontal="left" vertical="center" wrapText="1"/>
    </xf>
    <xf numFmtId="2" fontId="16" fillId="5" borderId="22" xfId="0" applyNumberFormat="1" applyFont="1" applyFill="1" applyBorder="1" applyAlignment="1">
      <alignment horizontal="center" vertical="center"/>
    </xf>
    <xf numFmtId="2" fontId="16" fillId="5" borderId="24" xfId="0" applyNumberFormat="1" applyFont="1" applyFill="1" applyBorder="1" applyAlignment="1">
      <alignment horizontal="center" vertical="center" wrapText="1"/>
    </xf>
    <xf numFmtId="166" fontId="16" fillId="5" borderId="22" xfId="0" applyNumberFormat="1" applyFont="1" applyFill="1" applyBorder="1" applyAlignment="1">
      <alignment horizontal="center" vertical="center"/>
    </xf>
    <xf numFmtId="4" fontId="16" fillId="5" borderId="23" xfId="0" quotePrefix="1" applyNumberFormat="1" applyFont="1" applyFill="1" applyBorder="1" applyAlignment="1">
      <alignment horizontal="center" vertical="center"/>
    </xf>
    <xf numFmtId="4" fontId="16" fillId="5" borderId="24" xfId="0" quotePrefix="1" applyNumberFormat="1" applyFont="1" applyFill="1" applyBorder="1" applyAlignment="1">
      <alignment horizontal="center" vertical="center"/>
    </xf>
    <xf numFmtId="166" fontId="16" fillId="5" borderId="6" xfId="0" quotePrefix="1" applyNumberFormat="1" applyFont="1" applyFill="1" applyBorder="1" applyAlignment="1">
      <alignment horizontal="center" vertical="center"/>
    </xf>
    <xf numFmtId="166" fontId="16" fillId="5" borderId="5" xfId="0" applyNumberFormat="1" applyFont="1" applyFill="1" applyBorder="1" applyAlignment="1">
      <alignment horizontal="center" vertical="center"/>
    </xf>
    <xf numFmtId="166" fontId="16" fillId="5" borderId="4" xfId="0" applyNumberFormat="1" applyFont="1" applyFill="1" applyBorder="1" applyAlignment="1">
      <alignment horizontal="center" vertical="center"/>
    </xf>
    <xf numFmtId="2" fontId="16" fillId="5" borderId="6" xfId="0" applyNumberFormat="1" applyFont="1" applyFill="1" applyBorder="1" applyAlignment="1">
      <alignment horizontal="center" vertical="center"/>
    </xf>
    <xf numFmtId="2" fontId="16" fillId="5" borderId="4" xfId="0" applyNumberFormat="1" applyFont="1" applyFill="1" applyBorder="1" applyAlignment="1">
      <alignment horizontal="center" vertical="center"/>
    </xf>
    <xf numFmtId="0" fontId="16" fillId="5" borderId="55" xfId="0" applyFont="1" applyFill="1" applyBorder="1" applyAlignment="1">
      <alignment horizontal="left" vertical="center" wrapText="1"/>
    </xf>
    <xf numFmtId="0" fontId="17" fillId="5" borderId="41" xfId="0" applyFont="1" applyFill="1" applyBorder="1" applyAlignment="1">
      <alignment vertical="center" wrapText="1"/>
    </xf>
    <xf numFmtId="2" fontId="17" fillId="5" borderId="82" xfId="0" applyNumberFormat="1" applyFont="1" applyFill="1" applyBorder="1" applyAlignment="1">
      <alignment horizontal="center" vertical="center" wrapText="1"/>
    </xf>
    <xf numFmtId="2" fontId="17" fillId="5" borderId="43" xfId="0" applyNumberFormat="1" applyFont="1" applyFill="1" applyBorder="1" applyAlignment="1">
      <alignment horizontal="center" vertical="center" wrapText="1"/>
    </xf>
    <xf numFmtId="4" fontId="16" fillId="5" borderId="82" xfId="0" quotePrefix="1" applyNumberFormat="1" applyFont="1" applyFill="1" applyBorder="1" applyAlignment="1">
      <alignment horizontal="center" vertical="center"/>
    </xf>
    <xf numFmtId="4" fontId="16" fillId="5" borderId="26" xfId="0" quotePrefix="1" applyNumberFormat="1" applyFont="1" applyFill="1" applyBorder="1" applyAlignment="1">
      <alignment horizontal="center" vertical="center"/>
    </xf>
    <xf numFmtId="4" fontId="16" fillId="5" borderId="27" xfId="0" quotePrefix="1" applyNumberFormat="1" applyFont="1" applyFill="1" applyBorder="1" applyAlignment="1">
      <alignment horizontal="center" vertical="center"/>
    </xf>
    <xf numFmtId="166" fontId="17" fillId="5" borderId="26" xfId="0" quotePrefix="1" applyNumberFormat="1" applyFont="1" applyFill="1" applyBorder="1" applyAlignment="1">
      <alignment horizontal="center" vertical="center"/>
    </xf>
    <xf numFmtId="166" fontId="17" fillId="5" borderId="27" xfId="0" applyNumberFormat="1" applyFont="1" applyFill="1" applyBorder="1" applyAlignment="1">
      <alignment horizontal="center" vertical="center"/>
    </xf>
    <xf numFmtId="4" fontId="16" fillId="5" borderId="39" xfId="0" quotePrefix="1" applyNumberFormat="1" applyFont="1" applyFill="1" applyBorder="1" applyAlignment="1">
      <alignment horizontal="center" vertical="center"/>
    </xf>
    <xf numFmtId="4" fontId="16" fillId="5" borderId="38" xfId="0" quotePrefix="1" applyNumberFormat="1" applyFont="1" applyFill="1" applyBorder="1" applyAlignment="1">
      <alignment horizontal="center" vertical="center"/>
    </xf>
    <xf numFmtId="166" fontId="16" fillId="5" borderId="50" xfId="0" applyNumberFormat="1" applyFont="1" applyFill="1" applyBorder="1" applyAlignment="1">
      <alignment horizontal="center" vertical="center"/>
    </xf>
    <xf numFmtId="0" fontId="16" fillId="5" borderId="67" xfId="0" applyFont="1" applyFill="1" applyBorder="1" applyAlignment="1">
      <alignment horizontal="left" vertical="center" wrapText="1"/>
    </xf>
    <xf numFmtId="2" fontId="16" fillId="5" borderId="50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2" fontId="16" fillId="2" borderId="9" xfId="0" applyNumberFormat="1" applyFont="1" applyFill="1" applyBorder="1" applyAlignment="1">
      <alignment horizontal="center" vertical="center"/>
    </xf>
    <xf numFmtId="2" fontId="16" fillId="2" borderId="82" xfId="0" applyNumberFormat="1" applyFont="1" applyFill="1" applyBorder="1" applyAlignment="1">
      <alignment horizontal="center" vertical="center"/>
    </xf>
    <xf numFmtId="0" fontId="25" fillId="5" borderId="0" xfId="0" applyFont="1" applyFill="1" applyAlignment="1">
      <alignment horizontal="center" vertical="center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10" fillId="6" borderId="82" xfId="0" applyFont="1" applyFill="1" applyBorder="1" applyAlignment="1">
      <alignment vertical="center" wrapText="1"/>
    </xf>
    <xf numFmtId="0" fontId="10" fillId="6" borderId="26" xfId="0" applyFont="1" applyFill="1" applyBorder="1" applyAlignment="1">
      <alignment horizontal="center" vertical="center" wrapText="1"/>
    </xf>
    <xf numFmtId="165" fontId="10" fillId="6" borderId="27" xfId="0" applyNumberFormat="1" applyFont="1" applyFill="1" applyBorder="1" applyAlignment="1">
      <alignment horizontal="center" vertical="center" wrapText="1"/>
    </xf>
    <xf numFmtId="165" fontId="10" fillId="6" borderId="10" xfId="0" applyNumberFormat="1" applyFont="1" applyFill="1" applyBorder="1" applyAlignment="1">
      <alignment horizontal="center" vertical="center" wrapText="1"/>
    </xf>
    <xf numFmtId="3" fontId="10" fillId="6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vertical="center" wrapText="1"/>
    </xf>
    <xf numFmtId="0" fontId="9" fillId="6" borderId="4" xfId="0" applyFont="1" applyFill="1" applyBorder="1" applyAlignment="1">
      <alignment vertical="center" wrapText="1"/>
    </xf>
    <xf numFmtId="0" fontId="9" fillId="6" borderId="5" xfId="0" applyFont="1" applyFill="1" applyBorder="1" applyAlignment="1">
      <alignment horizontal="center" vertical="center" wrapText="1"/>
    </xf>
    <xf numFmtId="3" fontId="9" fillId="6" borderId="5" xfId="0" applyNumberFormat="1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4" fillId="5" borderId="40" xfId="0" applyFont="1" applyFill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 wrapText="1"/>
    </xf>
    <xf numFmtId="0" fontId="4" fillId="5" borderId="12" xfId="2" applyNumberFormat="1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14" fontId="4" fillId="5" borderId="12" xfId="0" applyNumberFormat="1" applyFont="1" applyFill="1" applyBorder="1" applyAlignment="1">
      <alignment horizontal="center" vertical="center" wrapText="1"/>
    </xf>
    <xf numFmtId="14" fontId="4" fillId="5" borderId="11" xfId="0" applyNumberFormat="1" applyFont="1" applyFill="1" applyBorder="1" applyAlignment="1">
      <alignment horizontal="center" vertical="center" wrapText="1"/>
    </xf>
    <xf numFmtId="14" fontId="4" fillId="5" borderId="13" xfId="0" applyNumberFormat="1" applyFont="1" applyFill="1" applyBorder="1" applyAlignment="1">
      <alignment horizontal="center" vertical="center" wrapText="1"/>
    </xf>
    <xf numFmtId="0" fontId="4" fillId="5" borderId="44" xfId="0" applyFont="1" applyFill="1" applyBorder="1" applyAlignment="1">
      <alignment horizontal="center" vertical="center"/>
    </xf>
    <xf numFmtId="0" fontId="4" fillId="5" borderId="36" xfId="0" applyFont="1" applyFill="1" applyBorder="1" applyAlignment="1">
      <alignment horizontal="center" vertical="center"/>
    </xf>
    <xf numFmtId="166" fontId="4" fillId="5" borderId="62" xfId="0" applyNumberFormat="1" applyFont="1" applyFill="1" applyBorder="1" applyAlignment="1">
      <alignment horizontal="center" vertical="center"/>
    </xf>
    <xf numFmtId="0" fontId="4" fillId="5" borderId="92" xfId="0" applyFont="1" applyFill="1" applyBorder="1" applyAlignment="1">
      <alignment horizontal="center" vertical="center" wrapText="1"/>
    </xf>
    <xf numFmtId="14" fontId="4" fillId="5" borderId="50" xfId="0" applyNumberFormat="1" applyFont="1" applyFill="1" applyBorder="1" applyAlignment="1">
      <alignment horizontal="center" vertical="center" wrapText="1"/>
    </xf>
    <xf numFmtId="14" fontId="4" fillId="5" borderId="58" xfId="0" applyNumberFormat="1" applyFont="1" applyFill="1" applyBorder="1" applyAlignment="1">
      <alignment horizontal="center" vertical="center" wrapText="1"/>
    </xf>
    <xf numFmtId="0" fontId="4" fillId="5" borderId="37" xfId="0" applyFont="1" applyFill="1" applyBorder="1" applyAlignment="1">
      <alignment horizontal="center" vertical="center" wrapText="1"/>
    </xf>
    <xf numFmtId="0" fontId="4" fillId="5" borderId="39" xfId="0" applyFont="1" applyFill="1" applyBorder="1" applyAlignment="1">
      <alignment horizontal="center" vertical="center" wrapText="1"/>
    </xf>
    <xf numFmtId="3" fontId="6" fillId="6" borderId="4" xfId="0" applyNumberFormat="1" applyFont="1" applyFill="1" applyBorder="1" applyAlignment="1">
      <alignment horizontal="center" vertical="center"/>
    </xf>
    <xf numFmtId="3" fontId="6" fillId="6" borderId="56" xfId="0" applyNumberFormat="1" applyFont="1" applyFill="1" applyBorder="1" applyAlignment="1">
      <alignment horizontal="center" vertical="center"/>
    </xf>
    <xf numFmtId="3" fontId="11" fillId="6" borderId="58" xfId="0" applyNumberFormat="1" applyFont="1" applyFill="1" applyBorder="1" applyAlignment="1">
      <alignment horizontal="center" vertical="center"/>
    </xf>
    <xf numFmtId="3" fontId="11" fillId="6" borderId="50" xfId="0" applyNumberFormat="1" applyFont="1" applyFill="1" applyBorder="1" applyAlignment="1">
      <alignment horizontal="center" vertical="center"/>
    </xf>
    <xf numFmtId="3" fontId="4" fillId="6" borderId="82" xfId="0" applyNumberFormat="1" applyFont="1" applyFill="1" applyBorder="1" applyAlignment="1">
      <alignment horizontal="center" vertical="center"/>
    </xf>
    <xf numFmtId="3" fontId="4" fillId="6" borderId="43" xfId="0" applyNumberFormat="1" applyFont="1" applyFill="1" applyBorder="1" applyAlignment="1">
      <alignment horizontal="center" vertical="center"/>
    </xf>
    <xf numFmtId="3" fontId="4" fillId="6" borderId="9" xfId="0" applyNumberFormat="1" applyFont="1" applyFill="1" applyBorder="1" applyAlignment="1">
      <alignment horizontal="center" vertical="center"/>
    </xf>
    <xf numFmtId="3" fontId="4" fillId="6" borderId="21" xfId="0" applyNumberFormat="1" applyFont="1" applyFill="1" applyBorder="1" applyAlignment="1">
      <alignment horizontal="center" vertical="center"/>
    </xf>
    <xf numFmtId="3" fontId="4" fillId="6" borderId="11" xfId="0" applyNumberFormat="1" applyFont="1" applyFill="1" applyBorder="1" applyAlignment="1">
      <alignment horizontal="center" vertical="center"/>
    </xf>
    <xf numFmtId="3" fontId="4" fillId="6" borderId="59" xfId="0" applyNumberFormat="1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8" fillId="7" borderId="31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horizontal="center" vertical="center"/>
    </xf>
    <xf numFmtId="0" fontId="11" fillId="5" borderId="69" xfId="0" applyFont="1" applyFill="1" applyBorder="1" applyAlignment="1">
      <alignment wrapText="1"/>
    </xf>
    <xf numFmtId="3" fontId="4" fillId="5" borderId="0" xfId="0" applyNumberFormat="1" applyFont="1" applyFill="1" applyBorder="1" applyAlignment="1">
      <alignment horizontal="center" vertical="center" wrapText="1"/>
    </xf>
    <xf numFmtId="166" fontId="4" fillId="5" borderId="0" xfId="0" applyNumberFormat="1" applyFont="1" applyFill="1" applyBorder="1" applyAlignment="1">
      <alignment horizontal="center" vertical="center" wrapText="1"/>
    </xf>
    <xf numFmtId="166" fontId="4" fillId="5" borderId="57" xfId="0" applyNumberFormat="1" applyFont="1" applyFill="1" applyBorder="1" applyAlignment="1">
      <alignment horizontal="center" vertical="center" wrapText="1"/>
    </xf>
    <xf numFmtId="3" fontId="4" fillId="5" borderId="0" xfId="0" applyNumberFormat="1" applyFont="1" applyFill="1" applyBorder="1" applyAlignment="1">
      <alignment horizontal="center"/>
    </xf>
    <xf numFmtId="165" fontId="4" fillId="5" borderId="0" xfId="0" applyNumberFormat="1" applyFont="1" applyFill="1" applyBorder="1" applyAlignment="1">
      <alignment horizontal="center"/>
    </xf>
    <xf numFmtId="165" fontId="4" fillId="5" borderId="80" xfId="0" applyNumberFormat="1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left" vertical="center"/>
    </xf>
    <xf numFmtId="3" fontId="21" fillId="5" borderId="1" xfId="0" applyNumberFormat="1" applyFont="1" applyFill="1" applyBorder="1" applyAlignment="1">
      <alignment horizontal="center" vertical="center"/>
    </xf>
    <xf numFmtId="165" fontId="21" fillId="5" borderId="1" xfId="0" applyNumberFormat="1" applyFont="1" applyFill="1" applyBorder="1" applyAlignment="1">
      <alignment horizontal="center" vertical="center"/>
    </xf>
    <xf numFmtId="0" fontId="4" fillId="5" borderId="64" xfId="0" applyFont="1" applyFill="1" applyBorder="1" applyAlignment="1">
      <alignment horizontal="center" vertical="center"/>
    </xf>
    <xf numFmtId="0" fontId="4" fillId="5" borderId="65" xfId="0" applyFont="1" applyFill="1" applyBorder="1" applyAlignment="1">
      <alignment horizontal="center" vertical="center"/>
    </xf>
    <xf numFmtId="0" fontId="4" fillId="5" borderId="66" xfId="0" applyFont="1" applyFill="1" applyBorder="1" applyAlignment="1">
      <alignment horizontal="center" vertical="center"/>
    </xf>
    <xf numFmtId="0" fontId="4" fillId="5" borderId="64" xfId="0" applyFont="1" applyFill="1" applyBorder="1" applyAlignment="1">
      <alignment horizontal="center" vertical="center" wrapText="1"/>
    </xf>
    <xf numFmtId="0" fontId="4" fillId="5" borderId="84" xfId="0" applyFont="1" applyFill="1" applyBorder="1" applyAlignment="1">
      <alignment horizontal="center" vertical="center" wrapText="1"/>
    </xf>
    <xf numFmtId="0" fontId="4" fillId="5" borderId="50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39" xfId="0" applyFont="1" applyFill="1" applyBorder="1" applyAlignment="1">
      <alignment horizontal="center" wrapText="1"/>
    </xf>
    <xf numFmtId="0" fontId="4" fillId="5" borderId="54" xfId="0" applyFont="1" applyFill="1" applyBorder="1" applyAlignment="1">
      <alignment horizontal="center" vertical="center" wrapText="1"/>
    </xf>
    <xf numFmtId="2" fontId="8" fillId="5" borderId="64" xfId="0" applyNumberFormat="1" applyFont="1" applyFill="1" applyBorder="1" applyAlignment="1">
      <alignment horizontal="center" vertical="center" wrapText="1"/>
    </xf>
    <xf numFmtId="2" fontId="8" fillId="5" borderId="24" xfId="0" applyNumberFormat="1" applyFont="1" applyFill="1" applyBorder="1" applyAlignment="1">
      <alignment horizontal="center" vertical="center" wrapText="1"/>
    </xf>
    <xf numFmtId="0" fontId="4" fillId="5" borderId="69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wrapText="1"/>
    </xf>
    <xf numFmtId="165" fontId="8" fillId="5" borderId="27" xfId="0" applyNumberFormat="1" applyFont="1" applyFill="1" applyBorder="1" applyAlignment="1">
      <alignment horizontal="left" vertical="center" wrapText="1"/>
    </xf>
    <xf numFmtId="165" fontId="8" fillId="5" borderId="27" xfId="0" applyNumberFormat="1" applyFont="1" applyFill="1" applyBorder="1" applyAlignment="1">
      <alignment horizontal="center" vertical="center" wrapText="1"/>
    </xf>
    <xf numFmtId="165" fontId="8" fillId="5" borderId="10" xfId="0" applyNumberFormat="1" applyFont="1" applyFill="1" applyBorder="1" applyAlignment="1">
      <alignment horizontal="left" vertical="center" wrapText="1"/>
    </xf>
    <xf numFmtId="165" fontId="8" fillId="5" borderId="10" xfId="0" applyNumberFormat="1" applyFont="1" applyFill="1" applyBorder="1" applyAlignment="1">
      <alignment horizontal="center" vertical="center" wrapText="1"/>
    </xf>
    <xf numFmtId="165" fontId="8" fillId="5" borderId="10" xfId="0" quotePrefix="1" applyNumberFormat="1" applyFont="1" applyFill="1" applyBorder="1" applyAlignment="1">
      <alignment horizontal="left" vertical="center" wrapText="1"/>
    </xf>
    <xf numFmtId="165" fontId="8" fillId="5" borderId="10" xfId="0" quotePrefix="1" applyNumberFormat="1" applyFont="1" applyFill="1" applyBorder="1" applyAlignment="1">
      <alignment horizontal="center" vertical="center" wrapText="1"/>
    </xf>
    <xf numFmtId="165" fontId="8" fillId="5" borderId="49" xfId="0" applyNumberFormat="1" applyFont="1" applyFill="1" applyBorder="1" applyAlignment="1">
      <alignment horizontal="left" vertical="center" wrapText="1"/>
    </xf>
    <xf numFmtId="165" fontId="8" fillId="5" borderId="49" xfId="0" applyNumberFormat="1" applyFont="1" applyFill="1" applyBorder="1" applyAlignment="1">
      <alignment horizontal="center" vertical="center" wrapText="1"/>
    </xf>
    <xf numFmtId="165" fontId="4" fillId="5" borderId="10" xfId="0" applyNumberFormat="1" applyFont="1" applyFill="1" applyBorder="1" applyAlignment="1">
      <alignment horizontal="left"/>
    </xf>
    <xf numFmtId="165" fontId="4" fillId="5" borderId="10" xfId="0" applyNumberFormat="1" applyFont="1" applyFill="1" applyBorder="1" applyAlignment="1">
      <alignment horizontal="center"/>
    </xf>
    <xf numFmtId="165" fontId="4" fillId="5" borderId="0" xfId="0" applyNumberFormat="1" applyFont="1" applyFill="1" applyAlignment="1">
      <alignment horizontal="center" vertical="center"/>
    </xf>
    <xf numFmtId="0" fontId="8" fillId="5" borderId="11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51" xfId="0" applyFont="1" applyFill="1" applyBorder="1" applyAlignment="1">
      <alignment horizontal="center" vertical="center" wrapText="1"/>
    </xf>
    <xf numFmtId="0" fontId="8" fillId="5" borderId="49" xfId="0" applyFont="1" applyFill="1" applyBorder="1" applyAlignment="1">
      <alignment horizontal="center" vertical="center" wrapText="1"/>
    </xf>
    <xf numFmtId="3" fontId="9" fillId="5" borderId="50" xfId="0" applyNumberFormat="1" applyFont="1" applyFill="1" applyBorder="1" applyAlignment="1">
      <alignment horizontal="center" vertical="center" wrapText="1"/>
    </xf>
    <xf numFmtId="3" fontId="9" fillId="5" borderId="38" xfId="0" applyNumberFormat="1" applyFont="1" applyFill="1" applyBorder="1" applyAlignment="1">
      <alignment horizontal="center" vertical="center" wrapText="1"/>
    </xf>
    <xf numFmtId="3" fontId="9" fillId="5" borderId="39" xfId="0" applyNumberFormat="1" applyFont="1" applyFill="1" applyBorder="1" applyAlignment="1">
      <alignment horizontal="center" vertical="center" wrapText="1"/>
    </xf>
    <xf numFmtId="165" fontId="9" fillId="5" borderId="39" xfId="0" applyNumberFormat="1" applyFont="1" applyFill="1" applyBorder="1" applyAlignment="1">
      <alignment horizontal="center" vertical="center" wrapText="1"/>
    </xf>
    <xf numFmtId="0" fontId="4" fillId="5" borderId="55" xfId="0" applyFont="1" applyFill="1" applyBorder="1"/>
    <xf numFmtId="0" fontId="4" fillId="5" borderId="57" xfId="0" applyFont="1" applyFill="1" applyBorder="1" applyAlignment="1">
      <alignment horizontal="center" vertical="center"/>
    </xf>
    <xf numFmtId="0" fontId="4" fillId="5" borderId="56" xfId="0" applyFont="1" applyFill="1" applyBorder="1"/>
    <xf numFmtId="0" fontId="4" fillId="5" borderId="48" xfId="0" applyFont="1" applyFill="1" applyBorder="1" applyAlignment="1">
      <alignment horizontal="center" vertical="center"/>
    </xf>
    <xf numFmtId="0" fontId="4" fillId="5" borderId="44" xfId="0" applyFont="1" applyFill="1" applyBorder="1"/>
    <xf numFmtId="0" fontId="4" fillId="5" borderId="36" xfId="0" applyFont="1" applyFill="1" applyBorder="1"/>
    <xf numFmtId="0" fontId="4" fillId="5" borderId="36" xfId="0" applyFont="1" applyFill="1" applyBorder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center" vertical="center"/>
    </xf>
    <xf numFmtId="166" fontId="4" fillId="6" borderId="45" xfId="0" applyNumberFormat="1" applyFont="1" applyFill="1" applyBorder="1" applyAlignment="1">
      <alignment horizontal="center" vertical="center"/>
    </xf>
    <xf numFmtId="166" fontId="4" fillId="6" borderId="45" xfId="0" applyNumberFormat="1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 vertical="center" wrapText="1"/>
    </xf>
    <xf numFmtId="14" fontId="4" fillId="5" borderId="0" xfId="0" applyNumberFormat="1" applyFont="1" applyFill="1" applyAlignment="1">
      <alignment horizontal="center" vertical="center"/>
    </xf>
    <xf numFmtId="0" fontId="4" fillId="5" borderId="2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86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/>
    </xf>
    <xf numFmtId="3" fontId="4" fillId="2" borderId="40" xfId="0" applyNumberFormat="1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vertical="center" wrapText="1"/>
    </xf>
    <xf numFmtId="0" fontId="8" fillId="2" borderId="19" xfId="0" applyFont="1" applyFill="1" applyBorder="1" applyAlignment="1">
      <alignment vertical="center" wrapText="1"/>
    </xf>
    <xf numFmtId="0" fontId="8" fillId="2" borderId="99" xfId="0" applyFont="1" applyFill="1" applyBorder="1" applyAlignment="1">
      <alignment vertical="center" wrapText="1"/>
    </xf>
    <xf numFmtId="0" fontId="8" fillId="2" borderId="71" xfId="0" applyFont="1" applyFill="1" applyBorder="1" applyAlignment="1">
      <alignment vertical="center" wrapText="1"/>
    </xf>
    <xf numFmtId="0" fontId="9" fillId="5" borderId="67" xfId="0" applyFont="1" applyFill="1" applyBorder="1" applyAlignment="1">
      <alignment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63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9" fillId="5" borderId="36" xfId="0" applyFont="1" applyFill="1" applyBorder="1" applyAlignment="1">
      <alignment horizontal="center" vertical="center" wrapText="1"/>
    </xf>
    <xf numFmtId="1" fontId="5" fillId="2" borderId="0" xfId="0" applyNumberFormat="1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left"/>
    </xf>
    <xf numFmtId="165" fontId="5" fillId="2" borderId="0" xfId="0" applyNumberFormat="1" applyFont="1" applyFill="1" applyBorder="1" applyAlignment="1">
      <alignment horizontal="center"/>
    </xf>
    <xf numFmtId="1" fontId="4" fillId="2" borderId="33" xfId="0" applyNumberFormat="1" applyFont="1" applyFill="1" applyBorder="1" applyAlignment="1">
      <alignment horizontal="center"/>
    </xf>
    <xf numFmtId="165" fontId="4" fillId="2" borderId="13" xfId="0" applyNumberFormat="1" applyFont="1" applyFill="1" applyBorder="1" applyAlignment="1">
      <alignment horizontal="left"/>
    </xf>
    <xf numFmtId="165" fontId="4" fillId="2" borderId="13" xfId="0" applyNumberFormat="1" applyFont="1" applyFill="1" applyBorder="1" applyAlignment="1">
      <alignment horizontal="center"/>
    </xf>
    <xf numFmtId="0" fontId="14" fillId="2" borderId="69" xfId="5" quotePrefix="1" applyFill="1" applyBorder="1" applyAlignment="1">
      <alignment horizontal="center" vertical="center" wrapText="1"/>
    </xf>
    <xf numFmtId="2" fontId="8" fillId="5" borderId="92" xfId="0" applyNumberFormat="1" applyFont="1" applyFill="1" applyBorder="1" applyAlignment="1">
      <alignment horizontal="center" vertical="center" wrapText="1"/>
    </xf>
    <xf numFmtId="0" fontId="4" fillId="5" borderId="85" xfId="0" applyFont="1" applyFill="1" applyBorder="1" applyAlignment="1">
      <alignment horizontal="center" vertical="center" wrapText="1"/>
    </xf>
    <xf numFmtId="3" fontId="9" fillId="2" borderId="28" xfId="2" applyNumberFormat="1" applyFont="1" applyFill="1" applyBorder="1" applyAlignment="1">
      <alignment horizontal="center" vertical="center" wrapText="1"/>
    </xf>
    <xf numFmtId="3" fontId="8" fillId="2" borderId="35" xfId="2" applyNumberFormat="1" applyFont="1" applyFill="1" applyBorder="1" applyAlignment="1">
      <alignment horizontal="center" vertical="center" wrapText="1"/>
    </xf>
    <xf numFmtId="3" fontId="8" fillId="2" borderId="30" xfId="2" applyNumberFormat="1" applyFont="1" applyFill="1" applyBorder="1" applyAlignment="1">
      <alignment horizontal="center" vertical="center" wrapText="1"/>
    </xf>
    <xf numFmtId="3" fontId="8" fillId="2" borderId="74" xfId="2" applyNumberFormat="1" applyFont="1" applyFill="1" applyBorder="1" applyAlignment="1">
      <alignment horizontal="center" vertical="center" wrapText="1"/>
    </xf>
    <xf numFmtId="0" fontId="14" fillId="2" borderId="25" xfId="5" quotePrefix="1" applyFill="1" applyBorder="1" applyAlignment="1">
      <alignment horizontal="left" vertical="center" wrapText="1"/>
    </xf>
    <xf numFmtId="2" fontId="8" fillId="5" borderId="87" xfId="0" applyNumberFormat="1" applyFont="1" applyFill="1" applyBorder="1" applyAlignment="1">
      <alignment horizontal="center" vertical="center" wrapText="1"/>
    </xf>
    <xf numFmtId="3" fontId="9" fillId="2" borderId="52" xfId="2" applyNumberFormat="1" applyFont="1" applyFill="1" applyBorder="1" applyAlignment="1">
      <alignment horizontal="center" vertical="center" wrapText="1"/>
    </xf>
    <xf numFmtId="3" fontId="8" fillId="2" borderId="53" xfId="2" applyNumberFormat="1" applyFont="1" applyFill="1" applyBorder="1" applyAlignment="1">
      <alignment horizontal="center" vertical="center" wrapText="1"/>
    </xf>
    <xf numFmtId="3" fontId="8" fillId="2" borderId="45" xfId="2" applyNumberFormat="1" applyFont="1" applyFill="1" applyBorder="1" applyAlignment="1">
      <alignment horizontal="center" vertical="center" wrapText="1"/>
    </xf>
    <xf numFmtId="3" fontId="8" fillId="2" borderId="46" xfId="2" applyNumberFormat="1" applyFont="1" applyFill="1" applyBorder="1" applyAlignment="1">
      <alignment horizontal="center" vertical="center" wrapText="1"/>
    </xf>
    <xf numFmtId="165" fontId="9" fillId="2" borderId="3" xfId="2" applyNumberFormat="1" applyFont="1" applyFill="1" applyBorder="1" applyAlignment="1">
      <alignment horizontal="center" vertical="center" wrapText="1"/>
    </xf>
    <xf numFmtId="166" fontId="8" fillId="2" borderId="34" xfId="2" applyNumberFormat="1" applyFont="1" applyFill="1" applyBorder="1" applyAlignment="1">
      <alignment horizontal="center" vertical="center" wrapText="1"/>
    </xf>
    <xf numFmtId="166" fontId="8" fillId="2" borderId="18" xfId="2" applyNumberFormat="1" applyFont="1" applyFill="1" applyBorder="1" applyAlignment="1">
      <alignment horizontal="center" vertical="center" wrapText="1"/>
    </xf>
    <xf numFmtId="166" fontId="8" fillId="2" borderId="63" xfId="2" applyNumberFormat="1" applyFont="1" applyFill="1" applyBorder="1" applyAlignment="1">
      <alignment horizontal="center" vertical="center" wrapText="1"/>
    </xf>
    <xf numFmtId="0" fontId="4" fillId="2" borderId="63" xfId="0" applyFont="1" applyFill="1" applyBorder="1"/>
    <xf numFmtId="166" fontId="5" fillId="2" borderId="49" xfId="0" applyNumberFormat="1" applyFont="1" applyFill="1" applyBorder="1" applyAlignment="1">
      <alignment horizontal="center" vertical="center"/>
    </xf>
    <xf numFmtId="3" fontId="4" fillId="2" borderId="49" xfId="0" applyNumberFormat="1" applyFont="1" applyFill="1" applyBorder="1" applyAlignment="1">
      <alignment horizontal="center" vertical="center"/>
    </xf>
    <xf numFmtId="3" fontId="4" fillId="2" borderId="51" xfId="0" applyNumberFormat="1" applyFont="1" applyFill="1" applyBorder="1" applyAlignment="1">
      <alignment horizontal="center" vertical="center" wrapText="1"/>
    </xf>
    <xf numFmtId="3" fontId="4" fillId="2" borderId="63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33" fillId="2" borderId="0" xfId="0" applyFont="1" applyFill="1"/>
    <xf numFmtId="0" fontId="4" fillId="5" borderId="0" xfId="0" applyFont="1" applyFill="1"/>
    <xf numFmtId="3" fontId="6" fillId="5" borderId="4" xfId="0" quotePrefix="1" applyNumberFormat="1" applyFont="1" applyFill="1" applyBorder="1" applyAlignment="1">
      <alignment horizontal="center" vertical="center" wrapText="1"/>
    </xf>
    <xf numFmtId="3" fontId="6" fillId="5" borderId="6" xfId="0" quotePrefix="1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 wrapText="1"/>
    </xf>
    <xf numFmtId="166" fontId="6" fillId="5" borderId="56" xfId="0" applyNumberFormat="1" applyFont="1" applyFill="1" applyBorder="1" applyAlignment="1">
      <alignment horizontal="center" vertical="center"/>
    </xf>
    <xf numFmtId="49" fontId="6" fillId="5" borderId="4" xfId="0" applyNumberFormat="1" applyFont="1" applyFill="1" applyBorder="1" applyAlignment="1">
      <alignment horizontal="left" vertical="center" wrapText="1"/>
    </xf>
    <xf numFmtId="3" fontId="6" fillId="5" borderId="4" xfId="0" applyNumberFormat="1" applyFont="1" applyFill="1" applyBorder="1" applyAlignment="1">
      <alignment horizontal="center" vertical="center" wrapText="1"/>
    </xf>
    <xf numFmtId="166" fontId="6" fillId="5" borderId="56" xfId="0" applyNumberFormat="1" applyFont="1" applyFill="1" applyBorder="1" applyAlignment="1">
      <alignment horizontal="center" vertical="center" wrapText="1"/>
    </xf>
    <xf numFmtId="3" fontId="6" fillId="5" borderId="3" xfId="0" applyNumberFormat="1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0" fontId="8" fillId="8" borderId="31" xfId="0" applyFont="1" applyFill="1" applyBorder="1" applyAlignment="1">
      <alignment horizontal="center" vertical="center"/>
    </xf>
    <xf numFmtId="0" fontId="8" fillId="8" borderId="13" xfId="0" applyFont="1" applyFill="1" applyBorder="1" applyAlignment="1">
      <alignment horizontal="center" vertical="center"/>
    </xf>
    <xf numFmtId="0" fontId="14" fillId="9" borderId="99" xfId="5" quotePrefix="1" applyFill="1" applyBorder="1" applyAlignment="1">
      <alignment horizontal="center" vertical="center" wrapText="1"/>
    </xf>
    <xf numFmtId="0" fontId="14" fillId="9" borderId="49" xfId="5" quotePrefix="1" applyFill="1" applyBorder="1" applyAlignment="1">
      <alignment horizontal="left" vertical="center" wrapText="1"/>
    </xf>
    <xf numFmtId="3" fontId="8" fillId="9" borderId="30" xfId="2" applyNumberFormat="1" applyFont="1" applyFill="1" applyBorder="1" applyAlignment="1">
      <alignment horizontal="center" vertical="center" wrapText="1"/>
    </xf>
    <xf numFmtId="3" fontId="8" fillId="9" borderId="45" xfId="2" applyNumberFormat="1" applyFont="1" applyFill="1" applyBorder="1" applyAlignment="1">
      <alignment horizontal="center" vertical="center" wrapText="1"/>
    </xf>
    <xf numFmtId="166" fontId="8" fillId="9" borderId="18" xfId="2" applyNumberFormat="1" applyFont="1" applyFill="1" applyBorder="1" applyAlignment="1">
      <alignment horizontal="center" vertical="center" wrapText="1"/>
    </xf>
    <xf numFmtId="3" fontId="8" fillId="9" borderId="28" xfId="2" applyNumberFormat="1" applyFont="1" applyFill="1" applyBorder="1" applyAlignment="1">
      <alignment horizontal="center" vertical="center" wrapText="1"/>
    </xf>
    <xf numFmtId="3" fontId="8" fillId="9" borderId="52" xfId="2" applyNumberFormat="1" applyFont="1" applyFill="1" applyBorder="1" applyAlignment="1">
      <alignment horizontal="center" vertical="center" wrapText="1"/>
    </xf>
    <xf numFmtId="166" fontId="8" fillId="9" borderId="3" xfId="2" applyNumberFormat="1" applyFont="1" applyFill="1" applyBorder="1" applyAlignment="1">
      <alignment horizontal="center" vertical="center" wrapText="1"/>
    </xf>
    <xf numFmtId="0" fontId="14" fillId="9" borderId="55" xfId="7" quotePrefix="1" applyFill="1" applyBorder="1" applyAlignment="1">
      <alignment horizontal="center" vertical="center" wrapText="1"/>
    </xf>
    <xf numFmtId="0" fontId="14" fillId="9" borderId="6" xfId="7" quotePrefix="1" applyFill="1" applyBorder="1" applyAlignment="1">
      <alignment horizontal="left" vertical="center" wrapText="1"/>
    </xf>
    <xf numFmtId="165" fontId="4" fillId="9" borderId="32" xfId="0" applyNumberFormat="1" applyFont="1" applyFill="1" applyBorder="1" applyAlignment="1">
      <alignment horizontal="center" vertical="center"/>
    </xf>
    <xf numFmtId="3" fontId="4" fillId="9" borderId="81" xfId="0" applyNumberFormat="1" applyFont="1" applyFill="1" applyBorder="1" applyAlignment="1">
      <alignment horizontal="center" vertical="center"/>
    </xf>
    <xf numFmtId="2" fontId="8" fillId="9" borderId="29" xfId="0" applyNumberFormat="1" applyFont="1" applyFill="1" applyBorder="1" applyAlignment="1">
      <alignment horizontal="left" vertical="center" wrapText="1"/>
    </xf>
    <xf numFmtId="2" fontId="8" fillId="9" borderId="27" xfId="0" applyNumberFormat="1" applyFont="1" applyFill="1" applyBorder="1" applyAlignment="1">
      <alignment horizontal="left" vertical="center" wrapText="1"/>
    </xf>
    <xf numFmtId="2" fontId="8" fillId="9" borderId="82" xfId="0" quotePrefix="1" applyNumberFormat="1" applyFont="1" applyFill="1" applyBorder="1" applyAlignment="1">
      <alignment horizontal="center" vertical="center" wrapText="1"/>
    </xf>
    <xf numFmtId="1" fontId="8" fillId="2" borderId="108" xfId="11" applyNumberFormat="1" applyFont="1" applyFill="1" applyBorder="1" applyAlignment="1">
      <alignment horizontal="center" vertical="center" wrapText="1"/>
    </xf>
    <xf numFmtId="3" fontId="34" fillId="2" borderId="9" xfId="0" applyNumberFormat="1" applyFont="1" applyFill="1" applyBorder="1" applyAlignment="1">
      <alignment horizontal="center" vertical="center"/>
    </xf>
    <xf numFmtId="166" fontId="4" fillId="5" borderId="0" xfId="0" applyNumberFormat="1" applyFont="1" applyFill="1" applyAlignment="1">
      <alignment horizontal="center" vertical="center"/>
    </xf>
    <xf numFmtId="3" fontId="5" fillId="10" borderId="7" xfId="0" applyNumberFormat="1" applyFont="1" applyFill="1" applyBorder="1" applyAlignment="1">
      <alignment horizontal="center" vertical="center"/>
    </xf>
    <xf numFmtId="3" fontId="5" fillId="10" borderId="9" xfId="0" applyNumberFormat="1" applyFont="1" applyFill="1" applyBorder="1" applyAlignment="1">
      <alignment horizontal="center" vertical="center"/>
    </xf>
    <xf numFmtId="3" fontId="5" fillId="10" borderId="11" xfId="0" applyNumberFormat="1" applyFont="1" applyFill="1" applyBorder="1" applyAlignment="1">
      <alignment horizontal="center" vertical="center"/>
    </xf>
    <xf numFmtId="3" fontId="5" fillId="11" borderId="9" xfId="0" applyNumberFormat="1" applyFont="1" applyFill="1" applyBorder="1" applyAlignment="1">
      <alignment horizontal="center" vertical="center"/>
    </xf>
    <xf numFmtId="0" fontId="35" fillId="12" borderId="1" xfId="0" applyFont="1" applyFill="1" applyBorder="1" applyAlignment="1">
      <alignment horizontal="center" vertical="center"/>
    </xf>
    <xf numFmtId="15" fontId="36" fillId="12" borderId="1" xfId="0" applyNumberFormat="1" applyFont="1" applyFill="1" applyBorder="1" applyAlignment="1">
      <alignment horizontal="center" vertical="center" wrapText="1"/>
    </xf>
    <xf numFmtId="0" fontId="35" fillId="12" borderId="1" xfId="0" applyFont="1" applyFill="1" applyBorder="1" applyAlignment="1">
      <alignment horizontal="center" vertical="center" wrapText="1"/>
    </xf>
    <xf numFmtId="3" fontId="35" fillId="2" borderId="1" xfId="0" applyNumberFormat="1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0" fontId="35" fillId="2" borderId="0" xfId="0" applyFont="1" applyFill="1"/>
    <xf numFmtId="3" fontId="35" fillId="2" borderId="0" xfId="0" applyNumberFormat="1" applyFont="1" applyFill="1" applyAlignment="1">
      <alignment horizontal="center"/>
    </xf>
    <xf numFmtId="0" fontId="36" fillId="2" borderId="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top"/>
    </xf>
    <xf numFmtId="2" fontId="16" fillId="2" borderId="27" xfId="0" applyNumberFormat="1" applyFont="1" applyFill="1" applyBorder="1" applyAlignment="1">
      <alignment horizontal="center" vertical="center" wrapText="1"/>
    </xf>
    <xf numFmtId="2" fontId="16" fillId="2" borderId="10" xfId="0" applyNumberFormat="1" applyFont="1" applyFill="1" applyBorder="1" applyAlignment="1">
      <alignment horizontal="center" vertical="center" wrapText="1"/>
    </xf>
    <xf numFmtId="2" fontId="18" fillId="2" borderId="10" xfId="0" applyNumberFormat="1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2" fontId="16" fillId="2" borderId="13" xfId="0" applyNumberFormat="1" applyFont="1" applyFill="1" applyBorder="1" applyAlignment="1">
      <alignment horizontal="center" vertical="center" wrapText="1"/>
    </xf>
    <xf numFmtId="0" fontId="4" fillId="5" borderId="44" xfId="0" applyFont="1" applyFill="1" applyBorder="1" applyAlignment="1">
      <alignment horizontal="left" vertical="center" wrapText="1"/>
    </xf>
    <xf numFmtId="0" fontId="4" fillId="5" borderId="48" xfId="0" applyFont="1" applyFill="1" applyBorder="1" applyAlignment="1">
      <alignment horizontal="left" vertical="center" wrapText="1"/>
    </xf>
    <xf numFmtId="0" fontId="4" fillId="5" borderId="36" xfId="0" applyFont="1" applyFill="1" applyBorder="1" applyAlignment="1">
      <alignment horizontal="left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4" fillId="5" borderId="44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5" fillId="5" borderId="84" xfId="0" applyFont="1" applyFill="1" applyBorder="1" applyAlignment="1">
      <alignment horizontal="center" vertical="center" wrapText="1"/>
    </xf>
    <xf numFmtId="0" fontId="15" fillId="5" borderId="50" xfId="0" applyFont="1" applyFill="1" applyBorder="1" applyAlignment="1">
      <alignment horizontal="center" vertical="center" wrapText="1"/>
    </xf>
    <xf numFmtId="0" fontId="15" fillId="5" borderId="66" xfId="0" applyFont="1" applyFill="1" applyBorder="1" applyAlignment="1">
      <alignment horizontal="center" vertical="center" wrapText="1"/>
    </xf>
    <xf numFmtId="0" fontId="15" fillId="5" borderId="80" xfId="0" applyFont="1" applyFill="1" applyBorder="1" applyAlignment="1">
      <alignment horizontal="center" vertical="center" wrapText="1"/>
    </xf>
    <xf numFmtId="0" fontId="15" fillId="5" borderId="58" xfId="0" applyFont="1" applyFill="1" applyBorder="1" applyAlignment="1">
      <alignment horizontal="center" vertical="center" wrapText="1"/>
    </xf>
    <xf numFmtId="0" fontId="4" fillId="5" borderId="51" xfId="0" applyFont="1" applyFill="1" applyBorder="1" applyAlignment="1">
      <alignment horizontal="center" vertical="center" wrapText="1"/>
    </xf>
    <xf numFmtId="0" fontId="4" fillId="5" borderId="50" xfId="0" applyFont="1" applyFill="1" applyBorder="1" applyAlignment="1">
      <alignment horizontal="center" vertical="center" wrapText="1"/>
    </xf>
    <xf numFmtId="0" fontId="4" fillId="5" borderId="30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55" xfId="0" applyFont="1" applyFill="1" applyBorder="1" applyAlignment="1">
      <alignment horizontal="center" vertical="center"/>
    </xf>
    <xf numFmtId="0" fontId="4" fillId="5" borderId="57" xfId="0" applyFont="1" applyFill="1" applyBorder="1" applyAlignment="1">
      <alignment horizontal="center" vertical="center"/>
    </xf>
    <xf numFmtId="0" fontId="4" fillId="5" borderId="56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/>
    </xf>
    <xf numFmtId="0" fontId="4" fillId="5" borderId="36" xfId="0" applyFont="1" applyFill="1" applyBorder="1" applyAlignment="1">
      <alignment horizontal="center" vertical="center"/>
    </xf>
    <xf numFmtId="0" fontId="4" fillId="5" borderId="64" xfId="0" applyFont="1" applyFill="1" applyBorder="1" applyAlignment="1">
      <alignment horizontal="center" vertical="center" wrapText="1"/>
    </xf>
    <xf numFmtId="0" fontId="4" fillId="5" borderId="67" xfId="0" applyFont="1" applyFill="1" applyBorder="1" applyAlignment="1">
      <alignment horizontal="center" vertical="center" wrapText="1"/>
    </xf>
    <xf numFmtId="0" fontId="4" fillId="5" borderId="82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0" fontId="4" fillId="5" borderId="81" xfId="0" applyFont="1" applyFill="1" applyBorder="1" applyAlignment="1">
      <alignment horizontal="center" vertical="center" wrapText="1"/>
    </xf>
    <xf numFmtId="0" fontId="4" fillId="5" borderId="48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83" xfId="0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84" xfId="0" applyFont="1" applyFill="1" applyBorder="1" applyAlignment="1">
      <alignment horizontal="center" vertical="center"/>
    </xf>
    <xf numFmtId="0" fontId="4" fillId="5" borderId="50" xfId="0" applyFont="1" applyFill="1" applyBorder="1" applyAlignment="1">
      <alignment horizontal="center" vertical="center"/>
    </xf>
    <xf numFmtId="0" fontId="4" fillId="5" borderId="41" xfId="0" applyFont="1" applyFill="1" applyBorder="1" applyAlignment="1">
      <alignment horizontal="center" vertical="center" wrapText="1"/>
    </xf>
    <xf numFmtId="0" fontId="4" fillId="5" borderId="43" xfId="0" applyFont="1" applyFill="1" applyBorder="1" applyAlignment="1">
      <alignment horizontal="center" vertical="center" wrapText="1"/>
    </xf>
    <xf numFmtId="0" fontId="4" fillId="5" borderId="49" xfId="0" applyFont="1" applyFill="1" applyBorder="1" applyAlignment="1">
      <alignment horizontal="center" vertical="center" wrapText="1"/>
    </xf>
    <xf numFmtId="0" fontId="4" fillId="5" borderId="39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/>
    </xf>
    <xf numFmtId="0" fontId="4" fillId="5" borderId="48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center" vertical="center" wrapText="1"/>
    </xf>
    <xf numFmtId="0" fontId="4" fillId="5" borderId="66" xfId="0" applyFont="1" applyFill="1" applyBorder="1" applyAlignment="1">
      <alignment horizontal="center" vertical="center" wrapText="1"/>
    </xf>
    <xf numFmtId="0" fontId="4" fillId="5" borderId="76" xfId="0" applyFont="1" applyFill="1" applyBorder="1" applyAlignment="1">
      <alignment horizontal="center" vertical="center" wrapText="1"/>
    </xf>
    <xf numFmtId="0" fontId="4" fillId="5" borderId="77" xfId="0" applyFont="1" applyFill="1" applyBorder="1" applyAlignment="1">
      <alignment horizontal="center" vertical="center" wrapText="1"/>
    </xf>
    <xf numFmtId="0" fontId="4" fillId="5" borderId="34" xfId="0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4" fillId="5" borderId="51" xfId="0" applyFont="1" applyFill="1" applyBorder="1" applyAlignment="1">
      <alignment horizontal="center" vertical="center"/>
    </xf>
    <xf numFmtId="0" fontId="4" fillId="5" borderId="64" xfId="0" applyFont="1" applyFill="1" applyBorder="1" applyAlignment="1">
      <alignment horizontal="center" vertical="center"/>
    </xf>
    <xf numFmtId="0" fontId="4" fillId="5" borderId="65" xfId="0" applyFont="1" applyFill="1" applyBorder="1" applyAlignment="1">
      <alignment horizontal="center" vertical="center"/>
    </xf>
    <xf numFmtId="0" fontId="4" fillId="5" borderId="66" xfId="0" applyFont="1" applyFill="1" applyBorder="1" applyAlignment="1">
      <alignment horizontal="center" vertical="center"/>
    </xf>
    <xf numFmtId="0" fontId="4" fillId="5" borderId="41" xfId="0" applyFont="1" applyFill="1" applyBorder="1" applyAlignment="1">
      <alignment horizontal="center" vertical="center"/>
    </xf>
    <xf numFmtId="0" fontId="4" fillId="5" borderId="42" xfId="0" applyFont="1" applyFill="1" applyBorder="1" applyAlignment="1">
      <alignment horizontal="center" vertical="center"/>
    </xf>
    <xf numFmtId="0" fontId="4" fillId="5" borderId="43" xfId="0" applyFont="1" applyFill="1" applyBorder="1" applyAlignment="1">
      <alignment horizontal="center" vertical="center"/>
    </xf>
    <xf numFmtId="0" fontId="4" fillId="5" borderId="45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left" vertical="center" wrapText="1"/>
    </xf>
    <xf numFmtId="0" fontId="4" fillId="2" borderId="57" xfId="0" applyFont="1" applyFill="1" applyBorder="1" applyAlignment="1">
      <alignment horizontal="left" vertical="center" wrapText="1"/>
    </xf>
    <xf numFmtId="0" fontId="4" fillId="2" borderId="56" xfId="0" applyFont="1" applyFill="1" applyBorder="1" applyAlignment="1">
      <alignment horizontal="left" vertical="center" wrapText="1"/>
    </xf>
    <xf numFmtId="0" fontId="4" fillId="5" borderId="67" xfId="0" applyFont="1" applyFill="1" applyBorder="1" applyAlignment="1">
      <alignment horizontal="center" vertical="center"/>
    </xf>
    <xf numFmtId="14" fontId="4" fillId="5" borderId="82" xfId="0" applyNumberFormat="1" applyFont="1" applyFill="1" applyBorder="1" applyAlignment="1">
      <alignment horizontal="center" vertical="center" wrapText="1"/>
    </xf>
    <xf numFmtId="14" fontId="4" fillId="5" borderId="27" xfId="0" applyNumberFormat="1" applyFont="1" applyFill="1" applyBorder="1" applyAlignment="1">
      <alignment horizontal="center" vertical="center" wrapText="1"/>
    </xf>
    <xf numFmtId="14" fontId="4" fillId="5" borderId="26" xfId="0" applyNumberFormat="1" applyFont="1" applyFill="1" applyBorder="1" applyAlignment="1">
      <alignment horizontal="center" vertical="center" wrapText="1"/>
    </xf>
    <xf numFmtId="0" fontId="4" fillId="5" borderId="92" xfId="0" applyFont="1" applyFill="1" applyBorder="1" applyAlignment="1">
      <alignment horizontal="center" vertical="center" wrapText="1"/>
    </xf>
    <xf numFmtId="0" fontId="4" fillId="5" borderId="37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14" fontId="4" fillId="5" borderId="55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14" fontId="4" fillId="5" borderId="41" xfId="0" applyNumberFormat="1" applyFont="1" applyFill="1" applyBorder="1" applyAlignment="1">
      <alignment horizontal="center" vertical="center" wrapText="1"/>
    </xf>
    <xf numFmtId="14" fontId="4" fillId="5" borderId="43" xfId="0" applyNumberFormat="1" applyFont="1" applyFill="1" applyBorder="1" applyAlignment="1">
      <alignment horizontal="center" vertical="center" wrapText="1"/>
    </xf>
    <xf numFmtId="0" fontId="4" fillId="5" borderId="82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30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8" fillId="8" borderId="82" xfId="0" applyFont="1" applyFill="1" applyBorder="1" applyAlignment="1">
      <alignment horizontal="center" vertical="center" wrapText="1"/>
    </xf>
    <xf numFmtId="0" fontId="8" fillId="8" borderId="26" xfId="0" applyFont="1" applyFill="1" applyBorder="1" applyAlignment="1">
      <alignment horizontal="center" vertical="center" wrapText="1"/>
    </xf>
    <xf numFmtId="0" fontId="8" fillId="8" borderId="27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/>
    </xf>
    <xf numFmtId="0" fontId="8" fillId="7" borderId="44" xfId="0" applyFont="1" applyFill="1" applyBorder="1" applyAlignment="1">
      <alignment horizontal="center" vertical="center" wrapText="1"/>
    </xf>
    <xf numFmtId="0" fontId="8" fillId="7" borderId="48" xfId="0" applyFont="1" applyFill="1" applyBorder="1" applyAlignment="1">
      <alignment horizontal="center" vertical="center" wrapText="1"/>
    </xf>
    <xf numFmtId="0" fontId="8" fillId="7" borderId="36" xfId="0" applyFont="1" applyFill="1" applyBorder="1" applyAlignment="1">
      <alignment horizontal="center" vertical="center" wrapText="1"/>
    </xf>
    <xf numFmtId="0" fontId="8" fillId="7" borderId="3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wrapText="1"/>
    </xf>
    <xf numFmtId="0" fontId="8" fillId="8" borderId="9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8" borderId="30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2" borderId="0" xfId="0" applyFont="1" applyFill="1" applyAlignment="1">
      <alignment wrapText="1"/>
    </xf>
    <xf numFmtId="0" fontId="4" fillId="5" borderId="35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4" fillId="5" borderId="69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71" xfId="0" applyFont="1" applyFill="1" applyBorder="1" applyAlignment="1">
      <alignment horizontal="center" vertical="center" wrapText="1"/>
    </xf>
    <xf numFmtId="0" fontId="4" fillId="5" borderId="72" xfId="0" applyFont="1" applyFill="1" applyBorder="1" applyAlignment="1">
      <alignment horizontal="center" vertical="center" wrapText="1"/>
    </xf>
    <xf numFmtId="0" fontId="4" fillId="5" borderId="59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5" borderId="45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 wrapText="1"/>
    </xf>
    <xf numFmtId="0" fontId="4" fillId="6" borderId="84" xfId="0" applyFont="1" applyFill="1" applyBorder="1" applyAlignment="1">
      <alignment horizontal="center" vertical="center" wrapText="1"/>
    </xf>
    <xf numFmtId="0" fontId="4" fillId="6" borderId="50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39" xfId="0" applyFont="1" applyFill="1" applyBorder="1" applyAlignment="1">
      <alignment horizontal="center" vertical="center" wrapText="1"/>
    </xf>
    <xf numFmtId="2" fontId="8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4" fillId="2" borderId="0" xfId="0" applyFont="1" applyFill="1" applyAlignment="1">
      <alignment horizontal="left" wrapText="1"/>
    </xf>
    <xf numFmtId="2" fontId="8" fillId="5" borderId="44" xfId="0" applyNumberFormat="1" applyFont="1" applyFill="1" applyBorder="1" applyAlignment="1">
      <alignment horizontal="center" vertical="center" wrapText="1"/>
    </xf>
    <xf numFmtId="2" fontId="8" fillId="5" borderId="36" xfId="0" applyNumberFormat="1" applyFont="1" applyFill="1" applyBorder="1" applyAlignment="1">
      <alignment horizontal="center" vertical="center" wrapText="1"/>
    </xf>
    <xf numFmtId="0" fontId="8" fillId="5" borderId="64" xfId="0" applyFont="1" applyFill="1" applyBorder="1" applyAlignment="1">
      <alignment horizontal="center" vertical="center" wrapText="1"/>
    </xf>
    <xf numFmtId="0" fontId="4" fillId="5" borderId="67" xfId="0" applyFont="1" applyFill="1" applyBorder="1"/>
    <xf numFmtId="0" fontId="8" fillId="5" borderId="44" xfId="0" applyFont="1" applyFill="1" applyBorder="1" applyAlignment="1">
      <alignment horizontal="center" vertical="center" wrapText="1"/>
    </xf>
    <xf numFmtId="0" fontId="4" fillId="5" borderId="36" xfId="0" applyFont="1" applyFill="1" applyBorder="1"/>
    <xf numFmtId="0" fontId="8" fillId="5" borderId="41" xfId="0" applyFont="1" applyFill="1" applyBorder="1" applyAlignment="1">
      <alignment horizontal="center" vertical="center" wrapText="1"/>
    </xf>
    <xf numFmtId="0" fontId="8" fillId="5" borderId="42" xfId="0" applyFont="1" applyFill="1" applyBorder="1" applyAlignment="1">
      <alignment horizontal="center" vertical="center" wrapText="1"/>
    </xf>
    <xf numFmtId="0" fontId="4" fillId="5" borderId="43" xfId="0" applyFont="1" applyFill="1" applyBorder="1"/>
    <xf numFmtId="0" fontId="8" fillId="5" borderId="66" xfId="0" applyFont="1" applyFill="1" applyBorder="1" applyAlignment="1">
      <alignment horizontal="center" vertical="center" wrapText="1"/>
    </xf>
    <xf numFmtId="0" fontId="4" fillId="5" borderId="81" xfId="0" applyFont="1" applyFill="1" applyBorder="1" applyAlignment="1">
      <alignment horizontal="center" vertical="center"/>
    </xf>
    <xf numFmtId="0" fontId="4" fillId="5" borderId="84" xfId="0" applyFont="1" applyFill="1" applyBorder="1" applyAlignment="1">
      <alignment horizontal="center" vertical="center" wrapText="1"/>
    </xf>
    <xf numFmtId="0" fontId="4" fillId="5" borderId="30" xfId="0" applyFont="1" applyFill="1" applyBorder="1" applyAlignment="1">
      <alignment horizontal="center" vertical="center"/>
    </xf>
    <xf numFmtId="0" fontId="4" fillId="5" borderId="46" xfId="0" applyFont="1" applyFill="1" applyBorder="1" applyAlignment="1">
      <alignment horizontal="center" vertical="center" wrapText="1"/>
    </xf>
    <xf numFmtId="0" fontId="4" fillId="5" borderId="86" xfId="0" applyFont="1" applyFill="1" applyBorder="1" applyAlignment="1">
      <alignment horizontal="center" vertical="center" wrapText="1"/>
    </xf>
    <xf numFmtId="0" fontId="4" fillId="5" borderId="54" xfId="0" applyFont="1" applyFill="1" applyBorder="1" applyAlignment="1">
      <alignment horizontal="center" vertical="center" wrapText="1"/>
    </xf>
    <xf numFmtId="0" fontId="4" fillId="2" borderId="68" xfId="0" applyFont="1" applyFill="1" applyBorder="1" applyAlignment="1"/>
    <xf numFmtId="0" fontId="4" fillId="2" borderId="0" xfId="0" applyFont="1" applyFill="1" applyBorder="1" applyAlignment="1"/>
    <xf numFmtId="0" fontId="16" fillId="2" borderId="55" xfId="0" applyFont="1" applyFill="1" applyBorder="1" applyAlignment="1">
      <alignment horizontal="left" vertical="center" wrapText="1"/>
    </xf>
    <xf numFmtId="0" fontId="16" fillId="2" borderId="57" xfId="0" applyFont="1" applyFill="1" applyBorder="1" applyAlignment="1">
      <alignment horizontal="left" vertical="center" wrapText="1"/>
    </xf>
    <xf numFmtId="0" fontId="16" fillId="2" borderId="56" xfId="0" applyFont="1" applyFill="1" applyBorder="1" applyAlignment="1">
      <alignment horizontal="left" vertical="center" wrapText="1"/>
    </xf>
    <xf numFmtId="0" fontId="16" fillId="5" borderId="44" xfId="0" applyFont="1" applyFill="1" applyBorder="1" applyAlignment="1">
      <alignment horizontal="center" vertical="center" wrapText="1"/>
    </xf>
    <xf numFmtId="0" fontId="16" fillId="5" borderId="48" xfId="0" applyFont="1" applyFill="1" applyBorder="1" applyAlignment="1">
      <alignment horizontal="center" vertical="center" wrapText="1"/>
    </xf>
    <xf numFmtId="0" fontId="16" fillId="5" borderId="36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55" xfId="0" applyFont="1" applyFill="1" applyBorder="1" applyAlignment="1">
      <alignment horizontal="center" vertical="center" wrapText="1"/>
    </xf>
    <xf numFmtId="0" fontId="16" fillId="5" borderId="56" xfId="0" applyFont="1" applyFill="1" applyBorder="1" applyAlignment="1">
      <alignment horizontal="center" vertical="center" wrapText="1"/>
    </xf>
    <xf numFmtId="0" fontId="16" fillId="5" borderId="57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42" xfId="0" applyFont="1" applyFill="1" applyBorder="1" applyAlignment="1">
      <alignment horizontal="center" vertical="center" wrapText="1"/>
    </xf>
    <xf numFmtId="4" fontId="17" fillId="5" borderId="82" xfId="0" applyNumberFormat="1" applyFont="1" applyFill="1" applyBorder="1" applyAlignment="1">
      <alignment horizontal="center" vertical="center"/>
    </xf>
    <xf numFmtId="4" fontId="16" fillId="2" borderId="9" xfId="0" applyNumberFormat="1" applyFont="1" applyFill="1" applyBorder="1" applyAlignment="1">
      <alignment horizontal="center" vertical="center"/>
    </xf>
    <xf numFmtId="4" fontId="16" fillId="2" borderId="11" xfId="0" applyNumberFormat="1" applyFont="1" applyFill="1" applyBorder="1" applyAlignment="1">
      <alignment horizontal="center" vertical="center"/>
    </xf>
  </cellXfs>
  <cellStyles count="12">
    <cellStyle name="Dziesiętny" xfId="2" builtinId="3"/>
    <cellStyle name="Normalny" xfId="0" builtinId="0"/>
    <cellStyle name="Procentowy" xfId="3" builtinId="5"/>
    <cellStyle name="S0" xfId="9" xr:uid="{00000000-0005-0000-0000-000003000000}"/>
    <cellStyle name="S10" xfId="6" xr:uid="{00000000-0005-0000-0000-000004000000}"/>
    <cellStyle name="S11" xfId="7" xr:uid="{00000000-0005-0000-0000-000005000000}"/>
    <cellStyle name="S14" xfId="4" xr:uid="{00000000-0005-0000-0000-000006000000}"/>
    <cellStyle name="S15" xfId="11" xr:uid="{667CAFB8-96F4-4994-A13C-FAE3F9AF301B}"/>
    <cellStyle name="S5" xfId="8" xr:uid="{00000000-0005-0000-0000-000007000000}"/>
    <cellStyle name="S6" xfId="1" xr:uid="{00000000-0005-0000-0000-000008000000}"/>
    <cellStyle name="S7" xfId="10" xr:uid="{0CC5D371-E3F8-433C-B784-E3B9DA600856}"/>
    <cellStyle name="S8" xfId="5" xr:uid="{00000000-0005-0000-0000-000009000000}"/>
  </cellStyles>
  <dxfs count="0"/>
  <tableStyles count="0" defaultTableStyle="TableStyleMedium2" defaultPivotStyle="PivotStyleLight16"/>
  <colors>
    <mruColors>
      <color rgb="FFEFD2D1"/>
      <color rgb="FFEED0CE"/>
      <color rgb="FFFFFFDD"/>
      <color rgb="FFFFFFCC"/>
      <color rgb="FFDD9679"/>
      <color rgb="FFF6862A"/>
      <color rgb="FFE4AB94"/>
      <color rgb="FFFF9999"/>
      <color rgb="FFF8EDEC"/>
      <color rgb="FFF79B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100" b="0" u="none" dirty="0">
                <a:latin typeface="Arial" panose="020B0604020202020204" pitchFamily="34" charset="0"/>
                <a:cs typeface="Arial" panose="020B0604020202020204" pitchFamily="34" charset="0"/>
              </a:rPr>
              <a:t>osoby bezrobotne</a:t>
            </a:r>
          </a:p>
          <a:p>
            <a:pPr algn="l"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100" b="0" u="none" dirty="0">
                <a:latin typeface="Arial" panose="020B0604020202020204" pitchFamily="34" charset="0"/>
                <a:cs typeface="Arial" panose="020B0604020202020204" pitchFamily="34" charset="0"/>
              </a:rPr>
              <a:t>posiadające</a:t>
            </a:r>
          </a:p>
          <a:p>
            <a:pPr algn="l"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100" b="0" u="none" dirty="0">
                <a:latin typeface="Arial" panose="020B0604020202020204" pitchFamily="34" charset="0"/>
                <a:cs typeface="Arial" panose="020B0604020202020204" pitchFamily="34" charset="0"/>
              </a:rPr>
              <a:t>obywatelstwo </a:t>
            </a:r>
            <a:r>
              <a:rPr lang="pl-PL" sz="1100" b="0" u="none" baseline="0" dirty="0">
                <a:latin typeface="Arial" panose="020B0604020202020204" pitchFamily="34" charset="0"/>
                <a:cs typeface="Arial" panose="020B0604020202020204" pitchFamily="34" charset="0"/>
              </a:rPr>
              <a:t>ukraińskie</a:t>
            </a:r>
          </a:p>
          <a:p>
            <a:pPr algn="l"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100" b="0" u="none" baseline="0" dirty="0">
                <a:latin typeface="Arial" panose="020B0604020202020204" pitchFamily="34" charset="0"/>
                <a:cs typeface="Arial" panose="020B0604020202020204" pitchFamily="34" charset="0"/>
              </a:rPr>
              <a:t>w bezrobotnych ogółem</a:t>
            </a:r>
          </a:p>
          <a:p>
            <a:pPr algn="l"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100" b="0" u="none" baseline="0" dirty="0">
                <a:latin typeface="Arial" panose="020B0604020202020204" pitchFamily="34" charset="0"/>
                <a:cs typeface="Arial" panose="020B0604020202020204" pitchFamily="34" charset="0"/>
              </a:rPr>
              <a:t>wg powiatów, w proc.</a:t>
            </a:r>
            <a:endParaRPr lang="en-US" sz="1100" b="0" dirty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48941164248127833"/>
          <c:y val="0.6123865900829034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569221475391621"/>
          <c:y val="4.0571346773435428E-2"/>
          <c:w val="0.68372612448717252"/>
          <c:h val="0.935389133627019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'T.II.A'!$O$5</c:f>
              <c:strCache>
                <c:ptCount val="1"/>
                <c:pt idx="0">
                  <c:v>najwyższy proc.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0C6-4DD1-8401-88C85706C72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0C6-4DD1-8401-88C85706C72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0C6-4DD1-8401-88C85706C72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0C6-4DD1-8401-88C85706C72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0C6-4DD1-8401-88C85706C72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0C6-4DD1-8401-88C85706C72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00C6-4DD1-8401-88C85706C72D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00C6-4DD1-8401-88C85706C72D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00C6-4DD1-8401-88C85706C72D}"/>
              </c:ext>
            </c:extLst>
          </c:dPt>
          <c:dLbls>
            <c:dLbl>
              <c:idx val="0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C6-4DD1-8401-88C85706C7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Georgia" panose="02040502050405020303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'T.II.A'!$O$6:$O$30</c:f>
              <c:strCache>
                <c:ptCount val="25"/>
                <c:pt idx="0">
                  <c:v>m. Krosno</c:v>
                </c:pt>
                <c:pt idx="1">
                  <c:v>m. Tarnobrzeg</c:v>
                </c:pt>
                <c:pt idx="2">
                  <c:v>bieszczadzki</c:v>
                </c:pt>
                <c:pt idx="3">
                  <c:v>m. Rzeszów</c:v>
                </c:pt>
                <c:pt idx="4">
                  <c:v>mielecki</c:v>
                </c:pt>
                <c:pt idx="5">
                  <c:v>stalowowolski</c:v>
                </c:pt>
                <c:pt idx="6">
                  <c:v>tarnobrzeski</c:v>
                </c:pt>
                <c:pt idx="7">
                  <c:v>jarosławski</c:v>
                </c:pt>
                <c:pt idx="8">
                  <c:v>dębicki</c:v>
                </c:pt>
                <c:pt idx="9">
                  <c:v>m. Przemyśl</c:v>
                </c:pt>
                <c:pt idx="10">
                  <c:v>łańcucki</c:v>
                </c:pt>
                <c:pt idx="11">
                  <c:v>leski</c:v>
                </c:pt>
                <c:pt idx="12">
                  <c:v>leżajski</c:v>
                </c:pt>
                <c:pt idx="13">
                  <c:v>przeworski</c:v>
                </c:pt>
                <c:pt idx="14">
                  <c:v>sanocki</c:v>
                </c:pt>
                <c:pt idx="15">
                  <c:v>ropczycko-sędziszowski</c:v>
                </c:pt>
                <c:pt idx="16">
                  <c:v>niżański</c:v>
                </c:pt>
                <c:pt idx="17">
                  <c:v>kolbuszowski</c:v>
                </c:pt>
                <c:pt idx="18">
                  <c:v>rzeszowski</c:v>
                </c:pt>
                <c:pt idx="19">
                  <c:v>krośnieński</c:v>
                </c:pt>
                <c:pt idx="20">
                  <c:v>jasielski</c:v>
                </c:pt>
                <c:pt idx="21">
                  <c:v>lubaczowski</c:v>
                </c:pt>
                <c:pt idx="22">
                  <c:v>brzozowski</c:v>
                </c:pt>
                <c:pt idx="23">
                  <c:v>przemyski</c:v>
                </c:pt>
                <c:pt idx="24">
                  <c:v>strzyżowski</c:v>
                </c:pt>
              </c:strCache>
            </c:strRef>
          </c:cat>
          <c:val>
            <c:numRef>
              <c:f>'T.II.A'!$P$6:$P$30</c:f>
              <c:numCache>
                <c:formatCode>0.0</c:formatCode>
                <c:ptCount val="25"/>
                <c:pt idx="0">
                  <c:v>4</c:v>
                </c:pt>
                <c:pt idx="1">
                  <c:v>3.1884057971014492</c:v>
                </c:pt>
                <c:pt idx="2">
                  <c:v>2.6422764227642279</c:v>
                </c:pt>
                <c:pt idx="3">
                  <c:v>2.439485627836611</c:v>
                </c:pt>
                <c:pt idx="4">
                  <c:v>2.3347701149425286</c:v>
                </c:pt>
                <c:pt idx="5">
                  <c:v>1.7269293038316245</c:v>
                </c:pt>
                <c:pt idx="6">
                  <c:v>1.5715467328370554</c:v>
                </c:pt>
                <c:pt idx="7">
                  <c:v>1.2476459510357816</c:v>
                </c:pt>
                <c:pt idx="8">
                  <c:v>1.2118679481821981</c:v>
                </c:pt>
                <c:pt idx="9">
                  <c:v>1.2008281573498965</c:v>
                </c:pt>
                <c:pt idx="10">
                  <c:v>1.0904684975767367</c:v>
                </c:pt>
                <c:pt idx="11">
                  <c:v>1.0821133036282622</c:v>
                </c:pt>
                <c:pt idx="12">
                  <c:v>1.069703243616287</c:v>
                </c:pt>
                <c:pt idx="13">
                  <c:v>0.98443950460463636</c:v>
                </c:pt>
                <c:pt idx="14">
                  <c:v>0.83207261724659609</c:v>
                </c:pt>
                <c:pt idx="15">
                  <c:v>0.54708870652598662</c:v>
                </c:pt>
                <c:pt idx="16">
                  <c:v>0.53173811897640411</c:v>
                </c:pt>
                <c:pt idx="17">
                  <c:v>0.46082949308755761</c:v>
                </c:pt>
                <c:pt idx="18">
                  <c:v>0.41349292709466806</c:v>
                </c:pt>
                <c:pt idx="19">
                  <c:v>0.38535645472061658</c:v>
                </c:pt>
                <c:pt idx="20">
                  <c:v>0.38412291933418691</c:v>
                </c:pt>
                <c:pt idx="21">
                  <c:v>0.31786395422759062</c:v>
                </c:pt>
                <c:pt idx="22">
                  <c:v>0.28081999438360011</c:v>
                </c:pt>
                <c:pt idx="23">
                  <c:v>0.17895490336435219</c:v>
                </c:pt>
                <c:pt idx="24">
                  <c:v>0.16556291390728478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0C6-4DD1-8401-88C85706C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overlap val="6"/>
        <c:axId val="203172864"/>
        <c:axId val="203483008"/>
      </c:barChart>
      <c:catAx>
        <c:axId val="2031728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3483008"/>
        <c:crosses val="autoZero"/>
        <c:auto val="1"/>
        <c:lblAlgn val="ctr"/>
        <c:lblOffset val="100"/>
        <c:noMultiLvlLbl val="0"/>
      </c:catAx>
      <c:valAx>
        <c:axId val="203483008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extTo"/>
        <c:crossAx val="203172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 cmpd="dbl"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>
                <a:latin typeface="Arial" panose="020B0604020202020204" pitchFamily="34" charset="0"/>
                <a:cs typeface="Arial" panose="020B0604020202020204" pitchFamily="34" charset="0"/>
              </a:rPr>
              <a:t>wg poszczególnych lat</a:t>
            </a:r>
          </a:p>
        </c:rich>
      </c:tx>
      <c:layout>
        <c:manualLayout>
          <c:xMode val="edge"/>
          <c:yMode val="edge"/>
          <c:x val="0.36125554207894989"/>
          <c:y val="7.659578574409689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025588762396E-2"/>
          <c:w val="0.89144709558031465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T.XXV!$M$7</c:f>
              <c:strCache>
                <c:ptCount val="1"/>
                <c:pt idx="0">
                  <c:v>zgłoszenia</c:v>
                </c:pt>
              </c:strCache>
            </c:strRef>
          </c:tx>
          <c:spPr>
            <a:ln w="571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numRef>
              <c:f>T.XXV!$L$8:$L$24</c:f>
              <c:numCache>
                <c:formatCode>General</c:formatCod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numCache>
            </c:numRef>
          </c:cat>
          <c:val>
            <c:numRef>
              <c:f>T.XXV!$M$8:$M$24</c:f>
              <c:numCache>
                <c:formatCode>#,##0</c:formatCode>
                <c:ptCount val="17"/>
                <c:pt idx="0">
                  <c:v>479</c:v>
                </c:pt>
                <c:pt idx="1">
                  <c:v>4570</c:v>
                </c:pt>
                <c:pt idx="2">
                  <c:v>9176</c:v>
                </c:pt>
                <c:pt idx="3">
                  <c:v>1412</c:v>
                </c:pt>
                <c:pt idx="4">
                  <c:v>2730</c:v>
                </c:pt>
                <c:pt idx="5">
                  <c:v>1273</c:v>
                </c:pt>
                <c:pt idx="6">
                  <c:v>2106</c:v>
                </c:pt>
                <c:pt idx="7">
                  <c:v>1311</c:v>
                </c:pt>
                <c:pt idx="8">
                  <c:v>1204</c:v>
                </c:pt>
                <c:pt idx="9">
                  <c:v>720</c:v>
                </c:pt>
                <c:pt idx="10">
                  <c:v>819</c:v>
                </c:pt>
                <c:pt idx="11">
                  <c:v>587</c:v>
                </c:pt>
                <c:pt idx="12">
                  <c:v>1044</c:v>
                </c:pt>
                <c:pt idx="13">
                  <c:v>4716</c:v>
                </c:pt>
                <c:pt idx="14">
                  <c:v>716</c:v>
                </c:pt>
                <c:pt idx="15">
                  <c:v>599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AC4-4B48-8AD9-E5320572C7B9}"/>
            </c:ext>
          </c:extLst>
        </c:ser>
        <c:ser>
          <c:idx val="1"/>
          <c:order val="1"/>
          <c:tx>
            <c:strRef>
              <c:f>T.XXV!$N$7</c:f>
              <c:strCache>
                <c:ptCount val="1"/>
                <c:pt idx="0">
                  <c:v>zwolnienia</c:v>
                </c:pt>
              </c:strCache>
            </c:strRef>
          </c:tx>
          <c:marker>
            <c:symbol val="none"/>
          </c:marker>
          <c:cat>
            <c:numRef>
              <c:f>T.XXV!$L$8:$L$24</c:f>
              <c:numCache>
                <c:formatCode>General</c:formatCod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numCache>
            </c:numRef>
          </c:cat>
          <c:val>
            <c:numRef>
              <c:f>T.XXV!$N$8:$N$24</c:f>
              <c:numCache>
                <c:formatCode>#,##0</c:formatCode>
                <c:ptCount val="17"/>
                <c:pt idx="0">
                  <c:v>437</c:v>
                </c:pt>
                <c:pt idx="1">
                  <c:v>2154</c:v>
                </c:pt>
                <c:pt idx="2">
                  <c:v>6255</c:v>
                </c:pt>
                <c:pt idx="3">
                  <c:v>1120</c:v>
                </c:pt>
                <c:pt idx="4">
                  <c:v>2048</c:v>
                </c:pt>
                <c:pt idx="5">
                  <c:v>1050</c:v>
                </c:pt>
                <c:pt idx="6">
                  <c:v>1235</c:v>
                </c:pt>
                <c:pt idx="7">
                  <c:v>651</c:v>
                </c:pt>
                <c:pt idx="8">
                  <c:v>1108</c:v>
                </c:pt>
                <c:pt idx="9">
                  <c:v>609</c:v>
                </c:pt>
                <c:pt idx="10">
                  <c:v>557</c:v>
                </c:pt>
                <c:pt idx="11">
                  <c:v>530</c:v>
                </c:pt>
                <c:pt idx="12">
                  <c:v>726</c:v>
                </c:pt>
                <c:pt idx="13">
                  <c:v>2746</c:v>
                </c:pt>
                <c:pt idx="14">
                  <c:v>384</c:v>
                </c:pt>
                <c:pt idx="15">
                  <c:v>204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AC4-4B48-8AD9-E5320572C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961792"/>
        <c:axId val="216963328"/>
      </c:lineChart>
      <c:catAx>
        <c:axId val="216961792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6">
                  <a:lumMod val="40000"/>
                  <a:lumOff val="6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/>
          <a:lstStyle/>
          <a:p>
            <a:pPr>
              <a:defRPr sz="800" b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216963328"/>
        <c:crosses val="autoZero"/>
        <c:auto val="1"/>
        <c:lblAlgn val="ctr"/>
        <c:lblOffset val="100"/>
        <c:noMultiLvlLbl val="0"/>
      </c:catAx>
      <c:valAx>
        <c:axId val="216963328"/>
        <c:scaling>
          <c:orientation val="minMax"/>
          <c:max val="10000"/>
          <c:min val="0"/>
        </c:scaling>
        <c:delete val="0"/>
        <c:axPos val="l"/>
        <c:majorGridlines>
          <c:spPr>
            <a:ln>
              <a:solidFill>
                <a:srgbClr val="D2D9FE">
                  <a:alpha val="32157"/>
                </a:srgbClr>
              </a:solidFill>
            </a:ln>
          </c:spPr>
        </c:majorGridlines>
        <c:minorGridlines>
          <c:spPr>
            <a:ln w="6350">
              <a:solidFill>
                <a:schemeClr val="accent6">
                  <a:lumMod val="40000"/>
                  <a:lumOff val="60000"/>
                  <a:alpha val="82000"/>
                </a:scheme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800">
                <a:latin typeface="Times New Roman" panose="02020603050405020304" pitchFamily="18" charset="0"/>
                <a:ea typeface="Verdana" panose="020B0604030504040204" pitchFamily="34" charset="0"/>
                <a:cs typeface="Times New Roman" panose="02020603050405020304" pitchFamily="18" charset="0"/>
              </a:defRPr>
            </a:pPr>
            <a:endParaRPr lang="pl-PL"/>
          </a:p>
        </c:txPr>
        <c:crossAx val="216961792"/>
        <c:crosses val="autoZero"/>
        <c:crossBetween val="midCat"/>
        <c:majorUnit val="500"/>
        <c:minorUnit val="100"/>
      </c:valAx>
      <c:spPr>
        <a:noFill/>
      </c:spPr>
    </c:plotArea>
    <c:legend>
      <c:legendPos val="t"/>
      <c:layout>
        <c:manualLayout>
          <c:xMode val="edge"/>
          <c:yMode val="edge"/>
          <c:x val="0.2644745879151375"/>
          <c:y val="0.21305489726514848"/>
          <c:w val="0.66345844908285179"/>
          <c:h val="9.1990504863362674E-2"/>
        </c:manualLayout>
      </c:layout>
      <c:overlay val="0"/>
      <c:txPr>
        <a:bodyPr/>
        <a:lstStyle/>
        <a:p>
          <a:pPr>
            <a:defRPr sz="1100">
              <a:latin typeface="+mj-lt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251650108747638E-2"/>
          <c:y val="5.9933878874569503E-2"/>
          <c:w val="0.91870205304823693"/>
          <c:h val="0.83492454705538199"/>
        </c:manualLayout>
      </c:layout>
      <c:lineChart>
        <c:grouping val="standard"/>
        <c:varyColors val="0"/>
        <c:ser>
          <c:idx val="1"/>
          <c:order val="0"/>
          <c:tx>
            <c:strRef>
              <c:f>T.XXVI!$B$21</c:f>
              <c:strCache>
                <c:ptCount val="1"/>
                <c:pt idx="0">
                  <c:v>Polska, ogółem 15-89</c:v>
                </c:pt>
              </c:strCache>
            </c:strRef>
          </c:tx>
          <c:spPr>
            <a:ln w="73025">
              <a:solidFill>
                <a:schemeClr val="tx1">
                  <a:alpha val="35000"/>
                </a:schemeClr>
              </a:solidFill>
            </a:ln>
          </c:spPr>
          <c:marker>
            <c:symbol val="none"/>
          </c:marker>
          <c:cat>
            <c:strRef>
              <c:f>T.XXVI!$C$5:$O$5</c:f>
              <c:strCache>
                <c:ptCount val="1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</c:strCache>
            </c:strRef>
          </c:cat>
          <c:val>
            <c:numRef>
              <c:f>T.XXVI!$C$21:$O$21</c:f>
              <c:numCache>
                <c:formatCode>General</c:formatCode>
                <c:ptCount val="13"/>
                <c:pt idx="0">
                  <c:v>48.3</c:v>
                </c:pt>
                <c:pt idx="1">
                  <c:v>48.6</c:v>
                </c:pt>
                <c:pt idx="2">
                  <c:v>48.9</c:v>
                </c:pt>
                <c:pt idx="3">
                  <c:v>48.9</c:v>
                </c:pt>
                <c:pt idx="4">
                  <c:v>50.1</c:v>
                </c:pt>
                <c:pt idx="5" formatCode="0.0">
                  <c:v>51.1</c:v>
                </c:pt>
                <c:pt idx="6" formatCode="0.0">
                  <c:v>52.1</c:v>
                </c:pt>
                <c:pt idx="7" formatCode="0.0">
                  <c:v>53.2</c:v>
                </c:pt>
                <c:pt idx="8" formatCode="0.0">
                  <c:v>53.9</c:v>
                </c:pt>
                <c:pt idx="9" formatCode="0.0">
                  <c:v>54.1</c:v>
                </c:pt>
                <c:pt idx="10" formatCode="0.0">
                  <c:v>54</c:v>
                </c:pt>
                <c:pt idx="11" formatCode="0.0">
                  <c:v>55.8</c:v>
                </c:pt>
                <c:pt idx="12" formatCode="0.0">
                  <c:v>56.3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73D-48A6-A8B4-03DC16923845}"/>
            </c:ext>
          </c:extLst>
        </c:ser>
        <c:ser>
          <c:idx val="0"/>
          <c:order val="1"/>
          <c:tx>
            <c:strRef>
              <c:f>T.XXVI!$B$7</c:f>
              <c:strCache>
                <c:ptCount val="1"/>
                <c:pt idx="0">
                  <c:v>województwo podkarpackie, ogółem 15-89</c:v>
                </c:pt>
              </c:strCache>
            </c:strRef>
          </c:tx>
          <c:spPr>
            <a:ln w="66675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T.XXVI!$C$5:$O$5</c:f>
              <c:strCache>
                <c:ptCount val="1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</c:strCache>
            </c:strRef>
          </c:cat>
          <c:val>
            <c:numRef>
              <c:f>T.XXVI!$C$7:$O$7</c:f>
              <c:numCache>
                <c:formatCode>General</c:formatCode>
                <c:ptCount val="13"/>
                <c:pt idx="0">
                  <c:v>41.4</c:v>
                </c:pt>
                <c:pt idx="1">
                  <c:v>40.799999999999997</c:v>
                </c:pt>
                <c:pt idx="2">
                  <c:v>41.2</c:v>
                </c:pt>
                <c:pt idx="3">
                  <c:v>41.7</c:v>
                </c:pt>
                <c:pt idx="4">
                  <c:v>41.9</c:v>
                </c:pt>
                <c:pt idx="5" formatCode="0.0">
                  <c:v>43.3</c:v>
                </c:pt>
                <c:pt idx="6" formatCode="0.0">
                  <c:v>46.8</c:v>
                </c:pt>
                <c:pt idx="7" formatCode="0.0">
                  <c:v>48.1</c:v>
                </c:pt>
                <c:pt idx="8" formatCode="0.0">
                  <c:v>47.7</c:v>
                </c:pt>
                <c:pt idx="9" formatCode="0.0">
                  <c:v>48.7</c:v>
                </c:pt>
                <c:pt idx="10" formatCode="0.0">
                  <c:v>49.3</c:v>
                </c:pt>
                <c:pt idx="11" formatCode="0.0">
                  <c:v>50.3</c:v>
                </c:pt>
                <c:pt idx="12" formatCode="0.0">
                  <c:v>50.3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3D-48A6-A8B4-03DC16923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2">
                  <a:lumMod val="60000"/>
                  <a:lumOff val="4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>
            <a:solidFill>
              <a:schemeClr val="accent2">
                <a:lumMod val="60000"/>
                <a:lumOff val="40000"/>
                <a:alpha val="68000"/>
              </a:schemeClr>
            </a:solidFill>
            <a:prstDash val="solid"/>
          </a:ln>
        </c:spPr>
        <c:txPr>
          <a:bodyPr/>
          <a:lstStyle/>
          <a:p>
            <a:pPr>
              <a:defRPr sz="900" b="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0"/>
      </c:catAx>
      <c:valAx>
        <c:axId val="227398784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chemeClr val="accent2">
                  <a:lumMod val="50000"/>
                  <a:alpha val="71000"/>
                </a:schemeClr>
              </a:solidFill>
              <a:prstDash val="sysDot"/>
            </a:ln>
          </c:spPr>
        </c:minorGridlines>
        <c:numFmt formatCode="#,##0.0" sourceLinked="0"/>
        <c:majorTickMark val="out"/>
        <c:minorTickMark val="out"/>
        <c:tickLblPos val="nextTo"/>
        <c:spPr>
          <a:noFill/>
          <a:ln>
            <a:solidFill>
              <a:schemeClr val="accent2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9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227368320"/>
        <c:crosses val="autoZero"/>
        <c:crossBetween val="midCat"/>
        <c:majorUnit val="2.5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7.230934193400447E-2"/>
          <c:y val="7.0077979383011912E-2"/>
          <c:w val="0.58873776981061332"/>
          <c:h val="0.15975503062117233"/>
        </c:manualLayout>
      </c:layout>
      <c:overlay val="0"/>
      <c:txPr>
        <a:bodyPr/>
        <a:lstStyle/>
        <a:p>
          <a:pPr>
            <a:defRPr sz="11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pl-PL" sz="1000" b="0" dirty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Wskaźnik zatrudnienia wg wykształcenia, województwo podkarpackie</a:t>
            </a:r>
            <a:endParaRPr lang="en-US" sz="1000" b="0" dirty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1735133594524347"/>
          <c:y val="1.3206008823365164E-2"/>
        </c:manualLayout>
      </c:layout>
      <c:overlay val="0"/>
    </c:title>
    <c:autoTitleDeleted val="0"/>
    <c:view3D>
      <c:rotX val="15"/>
      <c:rotY val="20"/>
      <c:rAngAx val="0"/>
    </c:view3D>
    <c:floor>
      <c:thickness val="0"/>
      <c:spPr>
        <a:solidFill>
          <a:srgbClr val="EDF3F1">
            <a:alpha val="18824"/>
          </a:srgbClr>
        </a:solidFill>
        <a:ln>
          <a:noFill/>
        </a:ln>
      </c:spPr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2.8846037681270392E-2"/>
          <c:y val="8.1217773310251096E-2"/>
          <c:w val="0.89116377609661535"/>
          <c:h val="0.7474174361298362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T.XXVI!$C$19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  <a:alpha val="92000"/>
              </a:schemeClr>
            </a:solidFill>
            <a:ln w="3175">
              <a:solidFill>
                <a:schemeClr val="bg1">
                  <a:lumMod val="50000"/>
                </a:schemeClr>
              </a:solidFill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5CB-47F1-AED1-D8B6787E6E8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5CB-47F1-AED1-D8B6787E6E8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5CB-47F1-AED1-D8B6787E6E8F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5CB-47F1-AED1-D8B6787E6E8F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5CB-47F1-AED1-D8B6787E6E8F}"/>
              </c:ext>
            </c:extLst>
          </c:dPt>
          <c:dLbls>
            <c:dLbl>
              <c:idx val="0"/>
              <c:layout>
                <c:manualLayout>
                  <c:x val="-1.0957475483189268E-2"/>
                  <c:y val="7.5627408276093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CB-47F1-AED1-D8B6787E6E8F}"/>
                </c:ext>
              </c:extLst>
            </c:dLbl>
            <c:dLbl>
              <c:idx val="1"/>
              <c:layout>
                <c:manualLayout>
                  <c:x val="-1.0775367575807753E-2"/>
                  <c:y val="7.5506785056123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CB-47F1-AED1-D8B6787E6E8F}"/>
                </c:ext>
              </c:extLst>
            </c:dLbl>
            <c:dLbl>
              <c:idx val="2"/>
              <c:layout>
                <c:manualLayout>
                  <c:x val="-3.8558240002257321E-3"/>
                  <c:y val="6.20881219634779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CB-47F1-AED1-D8B6787E6E8F}"/>
                </c:ext>
              </c:extLst>
            </c:dLbl>
            <c:dLbl>
              <c:idx val="3"/>
              <c:layout>
                <c:manualLayout>
                  <c:x val="-4.2024044926633345E-3"/>
                  <c:y val="7.4022449321494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CB-47F1-AED1-D8B6787E6E8F}"/>
                </c:ext>
              </c:extLst>
            </c:dLbl>
            <c:dLbl>
              <c:idx val="4"/>
              <c:layout>
                <c:manualLayout>
                  <c:x val="-5.3978937113554181E-3"/>
                  <c:y val="6.4121628413469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CB-47F1-AED1-D8B6787E6E8F}"/>
                </c:ext>
              </c:extLst>
            </c:dLbl>
            <c:dLbl>
              <c:idx val="5"/>
              <c:layout>
                <c:manualLayout>
                  <c:x val="-2.3857269123214075E-2"/>
                  <c:y val="-2.33112490304252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CB-47F1-AED1-D8B6787E6E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T.XXVI!$P$33:$P$37</c:f>
              <c:strCache>
                <c:ptCount val="5"/>
                <c:pt idx="0">
                  <c:v>wyższe</c:v>
                </c:pt>
                <c:pt idx="1">
                  <c:v>polic. i śr. zaw.</c:v>
                </c:pt>
                <c:pt idx="2">
                  <c:v>śr. ogólnokszt.</c:v>
                </c:pt>
                <c:pt idx="3">
                  <c:v>zas. zaw.</c:v>
                </c:pt>
                <c:pt idx="4">
                  <c:v>gimn., podst. i niep. podst.</c:v>
                </c:pt>
              </c:strCache>
            </c:strRef>
          </c:cat>
          <c:val>
            <c:numRef>
              <c:f>T.XXVI!$C$27:$C$31</c:f>
              <c:numCache>
                <c:formatCode>0.0</c:formatCode>
                <c:ptCount val="5"/>
                <c:pt idx="0">
                  <c:v>76.900000000000006</c:v>
                </c:pt>
                <c:pt idx="1">
                  <c:v>59.7</c:v>
                </c:pt>
                <c:pt idx="2">
                  <c:v>41</c:v>
                </c:pt>
                <c:pt idx="3">
                  <c:v>53</c:v>
                </c:pt>
                <c:pt idx="4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CB-47F1-AED1-D8B6787E6E8F}"/>
            </c:ext>
          </c:extLst>
        </c:ser>
        <c:ser>
          <c:idx val="1"/>
          <c:order val="1"/>
          <c:tx>
            <c:strRef>
              <c:f>T.XXVI!$O$19</c:f>
              <c:strCache>
                <c:ptCount val="1"/>
                <c:pt idx="0">
                  <c:v>22</c:v>
                </c:pt>
              </c:strCache>
            </c:strRef>
          </c:tx>
          <c:spPr>
            <a:pattFill prst="ltVert">
              <a:fgClr>
                <a:srgbClr val="DD9679"/>
              </a:fgClr>
              <a:bgClr>
                <a:schemeClr val="bg1"/>
              </a:bgClr>
            </a:pattFill>
            <a:ln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1887916336244871E-2"/>
                  <c:y val="6.7622246792591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CB-47F1-AED1-D8B6787E6E8F}"/>
                </c:ext>
              </c:extLst>
            </c:dLbl>
            <c:dLbl>
              <c:idx val="1"/>
              <c:layout>
                <c:manualLayout>
                  <c:x val="-7.143790621572714E-3"/>
                  <c:y val="5.9016250628245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5CB-47F1-AED1-D8B6787E6E8F}"/>
                </c:ext>
              </c:extLst>
            </c:dLbl>
            <c:dLbl>
              <c:idx val="2"/>
              <c:layout>
                <c:manualLayout>
                  <c:x val="-2.9614347058688124E-3"/>
                  <c:y val="7.0650695258837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5CB-47F1-AED1-D8B6787E6E8F}"/>
                </c:ext>
              </c:extLst>
            </c:dLbl>
            <c:dLbl>
              <c:idx val="3"/>
              <c:layout>
                <c:manualLayout>
                  <c:x val="-6.8722066577607056E-4"/>
                  <c:y val="6.36702965320824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5CB-47F1-AED1-D8B6787E6E8F}"/>
                </c:ext>
              </c:extLst>
            </c:dLbl>
            <c:dLbl>
              <c:idx val="4"/>
              <c:layout>
                <c:manualLayout>
                  <c:x val="-1.8957043324974809E-3"/>
                  <c:y val="5.8649690065337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5CB-47F1-AED1-D8B6787E6E8F}"/>
                </c:ext>
              </c:extLst>
            </c:dLbl>
            <c:dLbl>
              <c:idx val="5"/>
              <c:layout>
                <c:manualLayout>
                  <c:x val="3.792888572848025E-3"/>
                  <c:y val="-2.77099272450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5CB-47F1-AED1-D8B6787E6E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T.XXVI!$P$33:$P$37</c:f>
              <c:strCache>
                <c:ptCount val="5"/>
                <c:pt idx="0">
                  <c:v>wyższe</c:v>
                </c:pt>
                <c:pt idx="1">
                  <c:v>polic. i śr. zaw.</c:v>
                </c:pt>
                <c:pt idx="2">
                  <c:v>śr. ogólnokszt.</c:v>
                </c:pt>
                <c:pt idx="3">
                  <c:v>zas. zaw.</c:v>
                </c:pt>
                <c:pt idx="4">
                  <c:v>gimn., podst. i niep. podst.</c:v>
                </c:pt>
              </c:strCache>
            </c:strRef>
          </c:cat>
          <c:val>
            <c:numRef>
              <c:f>T.XXVI!$O$27:$O$31</c:f>
              <c:numCache>
                <c:formatCode>0.0</c:formatCode>
                <c:ptCount val="5"/>
                <c:pt idx="0">
                  <c:v>80.099999999999994</c:v>
                </c:pt>
                <c:pt idx="1">
                  <c:v>59.9</c:v>
                </c:pt>
                <c:pt idx="2">
                  <c:v>52.5</c:v>
                </c:pt>
                <c:pt idx="3">
                  <c:v>53.2</c:v>
                </c:pt>
                <c:pt idx="4">
                  <c:v>16.3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5CB-47F1-AED1-D8B6787E6E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4"/>
        <c:shape val="box"/>
        <c:axId val="227445376"/>
        <c:axId val="227459840"/>
        <c:axId val="0"/>
      </c:bar3DChart>
      <c:catAx>
        <c:axId val="2274453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pl-PL" sz="8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poziomy wykształcenia</a:t>
                </a:r>
              </a:p>
            </c:rich>
          </c:tx>
          <c:layout>
            <c:manualLayout>
              <c:xMode val="edge"/>
              <c:yMode val="edge"/>
              <c:x val="0.30587288420389913"/>
              <c:y val="0.8510912215109801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227459840"/>
        <c:crosses val="autoZero"/>
        <c:auto val="1"/>
        <c:lblAlgn val="ctr"/>
        <c:lblOffset val="100"/>
        <c:noMultiLvlLbl val="0"/>
      </c:catAx>
      <c:valAx>
        <c:axId val="227459840"/>
        <c:scaling>
          <c:orientation val="minMax"/>
        </c:scaling>
        <c:delete val="0"/>
        <c:axPos val="r"/>
        <c:majorGridlines>
          <c:spPr>
            <a:ln w="3175">
              <a:solidFill>
                <a:srgbClr val="F0ECF4"/>
              </a:solidFill>
            </a:ln>
          </c:spPr>
        </c:majorGridlines>
        <c:minorGridlines>
          <c:spPr>
            <a:ln w="3175">
              <a:solidFill>
                <a:srgbClr val="E4E5DF"/>
              </a:solidFill>
            </a:ln>
          </c:spPr>
        </c:minorGridlines>
        <c:title>
          <c:tx>
            <c:rich>
              <a:bodyPr rot="0" vert="horz"/>
              <a:lstStyle/>
              <a:p>
                <a:pPr>
                  <a:defRPr sz="8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pl-PL" sz="8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 proc.</a:t>
                </a:r>
              </a:p>
            </c:rich>
          </c:tx>
          <c:layout>
            <c:manualLayout>
              <c:xMode val="edge"/>
              <c:yMode val="edge"/>
              <c:x val="0.82505613054445992"/>
              <c:y val="6.4180214883211559E-2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spPr>
          <a:ln>
            <a:solidFill>
              <a:srgbClr val="E8ECFE"/>
            </a:solidFill>
          </a:ln>
        </c:spPr>
        <c:txPr>
          <a:bodyPr/>
          <a:lstStyle/>
          <a:p>
            <a:pPr>
              <a:defRPr sz="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2274453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1376297681271"/>
          <c:y val="0.14654045903836488"/>
          <c:w val="0.22732364289147811"/>
          <c:h val="0.10220887856643819"/>
        </c:manualLayout>
      </c:layout>
      <c:overlay val="0"/>
      <c:txPr>
        <a:bodyPr/>
        <a:lstStyle/>
        <a:p>
          <a:pPr>
            <a:defRPr sz="105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3175" cmpd="dbl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100" b="0" u="none" dirty="0">
                <a:latin typeface="Arial" panose="020B0604020202020204" pitchFamily="34" charset="0"/>
                <a:cs typeface="Arial" panose="020B0604020202020204" pitchFamily="34" charset="0"/>
              </a:rPr>
              <a:t>osoby bezrobotne</a:t>
            </a:r>
          </a:p>
          <a:p>
            <a:pPr algn="l"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100" b="0" u="none" dirty="0">
                <a:latin typeface="Arial" panose="020B0604020202020204" pitchFamily="34" charset="0"/>
                <a:cs typeface="Arial" panose="020B0604020202020204" pitchFamily="34" charset="0"/>
              </a:rPr>
              <a:t>posiadające obywatelstwo</a:t>
            </a:r>
          </a:p>
          <a:p>
            <a:pPr algn="l"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100" b="0" u="none" baseline="0" dirty="0">
                <a:latin typeface="Arial" panose="020B0604020202020204" pitchFamily="34" charset="0"/>
                <a:cs typeface="Arial" panose="020B0604020202020204" pitchFamily="34" charset="0"/>
              </a:rPr>
              <a:t>ukraińskie</a:t>
            </a:r>
          </a:p>
          <a:p>
            <a:pPr algn="l"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100" b="0" u="none" baseline="0" dirty="0">
                <a:latin typeface="Arial" panose="020B0604020202020204" pitchFamily="34" charset="0"/>
                <a:cs typeface="Arial" panose="020B0604020202020204" pitchFamily="34" charset="0"/>
              </a:rPr>
              <a:t>w bezrobotnych ogółem</a:t>
            </a:r>
          </a:p>
          <a:p>
            <a:pPr algn="l"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100" b="0" u="none" baseline="0" dirty="0">
                <a:latin typeface="Arial" panose="020B0604020202020204" pitchFamily="34" charset="0"/>
                <a:cs typeface="Arial" panose="020B0604020202020204" pitchFamily="34" charset="0"/>
              </a:rPr>
              <a:t>wg powiatów, w proc.</a:t>
            </a:r>
            <a:endParaRPr lang="en-US" sz="1100" b="0" dirty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45885319618964421"/>
          <c:y val="0.1441203571870852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485700927562745"/>
          <c:y val="3.3462885832647095E-2"/>
          <c:w val="0.68372612448717252"/>
          <c:h val="0.935389133627019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'T.II.A'!$Q$5</c:f>
              <c:strCache>
                <c:ptCount val="1"/>
                <c:pt idx="0">
                  <c:v>najniższy proc.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  <a:alpha val="66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9A1-4E1F-BC82-C7CDF39359D0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9A1-4E1F-BC82-C7CDF39359D0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9A1-4E1F-BC82-C7CDF39359D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9A1-4E1F-BC82-C7CDF39359D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69A1-4E1F-BC82-C7CDF39359D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9A1-4E1F-BC82-C7CDF39359D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69A1-4E1F-BC82-C7CDF39359D0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69A1-4E1F-BC82-C7CDF39359D0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69A1-4E1F-BC82-C7CDF39359D0}"/>
              </c:ext>
            </c:extLst>
          </c:dPt>
          <c:dLbls>
            <c:dLbl>
              <c:idx val="0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A1-4E1F-BC82-C7CDF39359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Georgia" panose="02040502050405020303" pitchFamily="18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'T.II.A'!$Q$6:$Q$30</c:f>
              <c:strCache>
                <c:ptCount val="25"/>
                <c:pt idx="0">
                  <c:v>strzyżowski</c:v>
                </c:pt>
                <c:pt idx="1">
                  <c:v>przemyski</c:v>
                </c:pt>
                <c:pt idx="2">
                  <c:v>brzozowski</c:v>
                </c:pt>
                <c:pt idx="3">
                  <c:v>lubaczowski</c:v>
                </c:pt>
                <c:pt idx="4">
                  <c:v>jasielski</c:v>
                </c:pt>
                <c:pt idx="5">
                  <c:v>krośnieński</c:v>
                </c:pt>
                <c:pt idx="6">
                  <c:v>rzeszowski</c:v>
                </c:pt>
                <c:pt idx="7">
                  <c:v>kolbuszowski</c:v>
                </c:pt>
                <c:pt idx="8">
                  <c:v>niżański</c:v>
                </c:pt>
                <c:pt idx="9">
                  <c:v>ropczycko-sędziszowski</c:v>
                </c:pt>
                <c:pt idx="10">
                  <c:v>sanocki</c:v>
                </c:pt>
                <c:pt idx="11">
                  <c:v>przeworski</c:v>
                </c:pt>
                <c:pt idx="12">
                  <c:v>leżajski</c:v>
                </c:pt>
                <c:pt idx="13">
                  <c:v>leski</c:v>
                </c:pt>
                <c:pt idx="14">
                  <c:v>łańcucki</c:v>
                </c:pt>
                <c:pt idx="15">
                  <c:v>m. Przemyśl</c:v>
                </c:pt>
                <c:pt idx="16">
                  <c:v>dębicki</c:v>
                </c:pt>
                <c:pt idx="17">
                  <c:v>jarosławski</c:v>
                </c:pt>
                <c:pt idx="18">
                  <c:v>tarnobrzeski</c:v>
                </c:pt>
                <c:pt idx="19">
                  <c:v>stalowowolski</c:v>
                </c:pt>
                <c:pt idx="20">
                  <c:v>mielecki</c:v>
                </c:pt>
                <c:pt idx="21">
                  <c:v>m. Rzeszów</c:v>
                </c:pt>
                <c:pt idx="22">
                  <c:v>bieszczadzki</c:v>
                </c:pt>
                <c:pt idx="23">
                  <c:v>m. Tarnobrzeg</c:v>
                </c:pt>
                <c:pt idx="24">
                  <c:v>m. Krosno</c:v>
                </c:pt>
              </c:strCache>
            </c:strRef>
          </c:cat>
          <c:val>
            <c:numRef>
              <c:f>'T.II.A'!$R$6:$R$30</c:f>
              <c:numCache>
                <c:formatCode>0.0</c:formatCode>
                <c:ptCount val="25"/>
                <c:pt idx="0">
                  <c:v>0.16556291390728478</c:v>
                </c:pt>
                <c:pt idx="1">
                  <c:v>0.17895490336435219</c:v>
                </c:pt>
                <c:pt idx="2">
                  <c:v>0.28081999438360011</c:v>
                </c:pt>
                <c:pt idx="3">
                  <c:v>0.31786395422759062</c:v>
                </c:pt>
                <c:pt idx="4">
                  <c:v>0.38412291933418691</c:v>
                </c:pt>
                <c:pt idx="5">
                  <c:v>0.38535645472061658</c:v>
                </c:pt>
                <c:pt idx="6">
                  <c:v>0.41349292709466806</c:v>
                </c:pt>
                <c:pt idx="7">
                  <c:v>0.46082949308755761</c:v>
                </c:pt>
                <c:pt idx="8">
                  <c:v>0.53173811897640411</c:v>
                </c:pt>
                <c:pt idx="9">
                  <c:v>0.54708870652598662</c:v>
                </c:pt>
                <c:pt idx="10">
                  <c:v>0.83207261724659609</c:v>
                </c:pt>
                <c:pt idx="11">
                  <c:v>0.98443950460463636</c:v>
                </c:pt>
                <c:pt idx="12">
                  <c:v>1.069703243616287</c:v>
                </c:pt>
                <c:pt idx="13">
                  <c:v>1.0821133036282622</c:v>
                </c:pt>
                <c:pt idx="14">
                  <c:v>1.0904684975767367</c:v>
                </c:pt>
                <c:pt idx="15">
                  <c:v>1.2008281573498965</c:v>
                </c:pt>
                <c:pt idx="16">
                  <c:v>1.2118679481821981</c:v>
                </c:pt>
                <c:pt idx="17">
                  <c:v>1.2476459510357816</c:v>
                </c:pt>
                <c:pt idx="18">
                  <c:v>1.5715467328370554</c:v>
                </c:pt>
                <c:pt idx="19">
                  <c:v>1.7269293038316245</c:v>
                </c:pt>
                <c:pt idx="20">
                  <c:v>2.3347701149425286</c:v>
                </c:pt>
                <c:pt idx="21">
                  <c:v>2.439485627836611</c:v>
                </c:pt>
                <c:pt idx="22">
                  <c:v>2.6422764227642279</c:v>
                </c:pt>
                <c:pt idx="23">
                  <c:v>3.1884057971014492</c:v>
                </c:pt>
                <c:pt idx="2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9A1-4E1F-BC82-C7CDF3935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overlap val="6"/>
        <c:axId val="165206272"/>
        <c:axId val="165212160"/>
      </c:barChart>
      <c:catAx>
        <c:axId val="1652062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sz="10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65212160"/>
        <c:crosses val="autoZero"/>
        <c:auto val="1"/>
        <c:lblAlgn val="ctr"/>
        <c:lblOffset val="100"/>
        <c:noMultiLvlLbl val="0"/>
      </c:catAx>
      <c:valAx>
        <c:axId val="165212160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extTo"/>
        <c:crossAx val="165206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 cmpd="dbl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57231553627598"/>
          <c:y val="3.8885303271517291E-2"/>
          <c:w val="0.87742768446372388"/>
          <c:h val="0.935389133627019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T.VIII!$K$11</c:f>
              <c:strCache>
                <c:ptCount val="1"/>
              </c:strCache>
            </c:strRef>
          </c:tx>
          <c:spPr>
            <a:gradFill>
              <a:gsLst>
                <a:gs pos="62000">
                  <a:srgbClr val="F79B4F"/>
                </a:gs>
                <a:gs pos="0">
                  <a:srgbClr val="EFD2D1"/>
                </a:gs>
                <a:gs pos="100000">
                  <a:srgbClr val="F0D5D4"/>
                </a:gs>
              </a:gsLst>
              <a:lin ang="0" scaled="1"/>
            </a:gra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8FE-401D-8A33-D6D492276FA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8FE-401D-8A33-D6D492276FAC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8FE-401D-8A33-D6D492276FAC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8FE-401D-8A33-D6D492276FAC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8FE-401D-8A33-D6D492276FAC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8FE-401D-8A33-D6D492276F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T.VIII!$K$12:$K$36</c:f>
              <c:strCache>
                <c:ptCount val="25"/>
                <c:pt idx="0">
                  <c:v>Tarnobrzeg</c:v>
                </c:pt>
                <c:pt idx="1">
                  <c:v>bieszczadzki</c:v>
                </c:pt>
                <c:pt idx="2">
                  <c:v>jarosławski</c:v>
                </c:pt>
                <c:pt idx="3">
                  <c:v>brzozowski</c:v>
                </c:pt>
                <c:pt idx="4">
                  <c:v>stalowowolski</c:v>
                </c:pt>
                <c:pt idx="5">
                  <c:v>łańcucki</c:v>
                </c:pt>
                <c:pt idx="6">
                  <c:v>ropczycko-sędziszowski</c:v>
                </c:pt>
                <c:pt idx="7">
                  <c:v>leżajski</c:v>
                </c:pt>
                <c:pt idx="8">
                  <c:v>leski</c:v>
                </c:pt>
                <c:pt idx="9">
                  <c:v>kolbuszowski</c:v>
                </c:pt>
                <c:pt idx="10">
                  <c:v>niżański</c:v>
                </c:pt>
                <c:pt idx="11">
                  <c:v>przemyski</c:v>
                </c:pt>
                <c:pt idx="12">
                  <c:v>Rzeszów</c:v>
                </c:pt>
                <c:pt idx="13">
                  <c:v>przeworski</c:v>
                </c:pt>
                <c:pt idx="14">
                  <c:v>strzyżowski</c:v>
                </c:pt>
                <c:pt idx="15">
                  <c:v>Przemyśl</c:v>
                </c:pt>
                <c:pt idx="16">
                  <c:v>mielecki</c:v>
                </c:pt>
                <c:pt idx="17">
                  <c:v>sanocki</c:v>
                </c:pt>
                <c:pt idx="18">
                  <c:v>jasielski</c:v>
                </c:pt>
                <c:pt idx="19">
                  <c:v>rzeszowski</c:v>
                </c:pt>
                <c:pt idx="20">
                  <c:v>lubaczowski</c:v>
                </c:pt>
                <c:pt idx="21">
                  <c:v>tarnobrzeski</c:v>
                </c:pt>
                <c:pt idx="22">
                  <c:v>dębicki</c:v>
                </c:pt>
                <c:pt idx="23">
                  <c:v>krośnieński</c:v>
                </c:pt>
                <c:pt idx="24">
                  <c:v>Krosno</c:v>
                </c:pt>
              </c:strCache>
            </c:strRef>
          </c:cat>
          <c:val>
            <c:numRef>
              <c:f>T.VIII!$L$12:$L$36</c:f>
              <c:numCache>
                <c:formatCode>0.0</c:formatCode>
                <c:ptCount val="25"/>
                <c:pt idx="0">
                  <c:v>-34.693877551020407</c:v>
                </c:pt>
                <c:pt idx="1">
                  <c:v>-24.836601307189543</c:v>
                </c:pt>
                <c:pt idx="2">
                  <c:v>-18.963165075034105</c:v>
                </c:pt>
                <c:pt idx="3">
                  <c:v>-14.353312302839116</c:v>
                </c:pt>
                <c:pt idx="4">
                  <c:v>-12.080536912751677</c:v>
                </c:pt>
                <c:pt idx="5">
                  <c:v>-10.854092526690392</c:v>
                </c:pt>
                <c:pt idx="6">
                  <c:v>-9.8696461824953445</c:v>
                </c:pt>
                <c:pt idx="7">
                  <c:v>-9.7510373443983411</c:v>
                </c:pt>
                <c:pt idx="8">
                  <c:v>-9.502262443438914</c:v>
                </c:pt>
                <c:pt idx="9">
                  <c:v>-7.1729957805907176</c:v>
                </c:pt>
                <c:pt idx="10">
                  <c:v>-4.8611111111111107</c:v>
                </c:pt>
                <c:pt idx="11">
                  <c:v>-4.5045045045045047</c:v>
                </c:pt>
                <c:pt idx="12">
                  <c:v>-1.8416206261510129</c:v>
                </c:pt>
                <c:pt idx="13">
                  <c:v>-1.5904572564612327</c:v>
                </c:pt>
                <c:pt idx="14">
                  <c:v>0.63559322033898302</c:v>
                </c:pt>
                <c:pt idx="15">
                  <c:v>6.7669172932330826</c:v>
                </c:pt>
                <c:pt idx="16">
                  <c:v>8.9238845144356951</c:v>
                </c:pt>
                <c:pt idx="17">
                  <c:v>11.74496644295302</c:v>
                </c:pt>
                <c:pt idx="18">
                  <c:v>12.457912457912458</c:v>
                </c:pt>
                <c:pt idx="19">
                  <c:v>13.653136531365314</c:v>
                </c:pt>
                <c:pt idx="20">
                  <c:v>17.032967032967033</c:v>
                </c:pt>
                <c:pt idx="21">
                  <c:v>17.46987951807229</c:v>
                </c:pt>
                <c:pt idx="22">
                  <c:v>18.678160919540229</c:v>
                </c:pt>
                <c:pt idx="23">
                  <c:v>24.596774193548388</c:v>
                </c:pt>
                <c:pt idx="24">
                  <c:v>35.227272727272727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FE-401D-8A33-D6D492276F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overlap val="6"/>
        <c:axId val="208843520"/>
        <c:axId val="208845056"/>
      </c:barChart>
      <c:catAx>
        <c:axId val="208843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8845056"/>
        <c:crosses val="autoZero"/>
        <c:auto val="1"/>
        <c:lblAlgn val="ctr"/>
        <c:lblOffset val="100"/>
        <c:noMultiLvlLbl val="0"/>
      </c:catAx>
      <c:valAx>
        <c:axId val="20884505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20884352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layout>
        <c:manualLayout>
          <c:xMode val="edge"/>
          <c:yMode val="edge"/>
          <c:x val="7.7198843815409132E-2"/>
          <c:y val="2.6936015020594405E-2"/>
        </c:manualLayout>
      </c:layout>
      <c:overlay val="1"/>
      <c:txPr>
        <a:bodyPr/>
        <a:lstStyle/>
        <a:p>
          <a:pPr>
            <a:defRPr sz="1000" b="0">
              <a:latin typeface="Arial" panose="020B0604020202020204" pitchFamily="34" charset="0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50"/>
      <c:rotY val="70"/>
      <c:depthPercent val="210"/>
      <c:rAngAx val="0"/>
      <c:perspective val="5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6915387116012931E-2"/>
          <c:y val="5.554702667511089E-2"/>
          <c:w val="0.95264114241558251"/>
          <c:h val="0.94371177798993122"/>
        </c:manualLayout>
      </c:layout>
      <c:pie3DChart>
        <c:varyColors val="1"/>
        <c:ser>
          <c:idx val="0"/>
          <c:order val="0"/>
          <c:tx>
            <c:strRef>
              <c:f>T.XIV!$U$19</c:f>
              <c:strCache>
                <c:ptCount val="1"/>
                <c:pt idx="0">
                  <c:v>30 VI 23 r.</c:v>
                </c:pt>
              </c:strCache>
            </c:strRef>
          </c:tx>
          <c:spPr>
            <a:ln w="3175">
              <a:noFill/>
            </a:ln>
            <a:scene3d>
              <a:camera prst="orthographicFront"/>
              <a:lightRig rig="threePt" dir="t">
                <a:rot lat="0" lon="0" rev="1200000"/>
              </a:lightRig>
            </a:scene3d>
            <a:sp3d>
              <a:bevelT h="25400"/>
            </a:sp3d>
          </c:spPr>
          <c:explosion val="4"/>
          <c:dPt>
            <c:idx val="0"/>
            <c:bubble3D val="0"/>
            <c:spPr>
              <a:gradFill>
                <a:gsLst>
                  <a:gs pos="0">
                    <a:srgbClr val="00FF00"/>
                  </a:gs>
                  <a:gs pos="96250">
                    <a:srgbClr val="00FF00"/>
                  </a:gs>
                  <a:gs pos="50000">
                    <a:srgbClr val="00FF00"/>
                  </a:gs>
                  <a:gs pos="100000">
                    <a:srgbClr val="92D050">
                      <a:lumMod val="74000"/>
                      <a:lumOff val="26000"/>
                    </a:srgbClr>
                  </a:gs>
                </a:gsLst>
                <a:lin ang="5400000" scaled="0"/>
              </a:gradFill>
              <a:ln w="3175">
                <a:noFill/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h="25400"/>
              </a:sp3d>
            </c:spPr>
            <c:extLst>
              <c:ext xmlns:c16="http://schemas.microsoft.com/office/drawing/2014/chart" uri="{C3380CC4-5D6E-409C-BE32-E72D297353CC}">
                <c16:uniqueId val="{00000001-E07E-4A66-9442-18B1E50BEB7E}"/>
              </c:ext>
            </c:extLst>
          </c:dPt>
          <c:dPt>
            <c:idx val="1"/>
            <c:bubble3D val="0"/>
            <c:spPr>
              <a:gradFill>
                <a:gsLst>
                  <a:gs pos="0">
                    <a:srgbClr val="FFC000">
                      <a:lumMod val="96000"/>
                      <a:lumOff val="4000"/>
                    </a:srgbClr>
                  </a:gs>
                  <a:gs pos="69000">
                    <a:srgbClr val="FFB64E"/>
                  </a:gs>
                  <a:gs pos="19000">
                    <a:srgbClr val="FFCC99">
                      <a:lumMod val="86000"/>
                    </a:srgbClr>
                  </a:gs>
                  <a:gs pos="98000">
                    <a:srgbClr val="FFC000">
                      <a:lumMod val="87000"/>
                      <a:lumOff val="13000"/>
                    </a:srgbClr>
                  </a:gs>
                </a:gsLst>
                <a:lin ang="5400000" scaled="0"/>
              </a:gradFill>
              <a:ln w="3175">
                <a:noFill/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h="25400"/>
              </a:sp3d>
            </c:spPr>
            <c:extLst>
              <c:ext xmlns:c16="http://schemas.microsoft.com/office/drawing/2014/chart" uri="{C3380CC4-5D6E-409C-BE32-E72D297353CC}">
                <c16:uniqueId val="{00000003-E07E-4A66-9442-18B1E50BEB7E}"/>
              </c:ext>
            </c:extLst>
          </c:dPt>
          <c:dPt>
            <c:idx val="2"/>
            <c:bubble3D val="0"/>
            <c:spPr>
              <a:gradFill>
                <a:gsLst>
                  <a:gs pos="0">
                    <a:schemeClr val="accent2">
                      <a:lumMod val="20000"/>
                      <a:lumOff val="80000"/>
                    </a:schemeClr>
                  </a:gs>
                  <a:gs pos="50000">
                    <a:schemeClr val="accent2">
                      <a:lumMod val="40000"/>
                      <a:lumOff val="60000"/>
                    </a:schemeClr>
                  </a:gs>
                  <a:gs pos="100000">
                    <a:srgbClr val="FF9999"/>
                  </a:gs>
                </a:gsLst>
                <a:lin ang="5400000" scaled="0"/>
              </a:gradFill>
              <a:ln w="3175">
                <a:noFill/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h="25400"/>
              </a:sp3d>
            </c:spPr>
            <c:extLst>
              <c:ext xmlns:c16="http://schemas.microsoft.com/office/drawing/2014/chart" uri="{C3380CC4-5D6E-409C-BE32-E72D297353CC}">
                <c16:uniqueId val="{00000005-E07E-4A66-9442-18B1E50BEB7E}"/>
              </c:ext>
            </c:extLst>
          </c:dPt>
          <c:dPt>
            <c:idx val="3"/>
            <c:bubble3D val="0"/>
            <c:spPr>
              <a:gradFill>
                <a:gsLst>
                  <a:gs pos="0">
                    <a:srgbClr val="FF9999">
                      <a:lumMod val="89000"/>
                    </a:srgbClr>
                  </a:gs>
                  <a:gs pos="50000">
                    <a:srgbClr val="FF9999">
                      <a:lumMod val="96000"/>
                      <a:lumOff val="4000"/>
                    </a:srgbClr>
                  </a:gs>
                  <a:gs pos="100000">
                    <a:srgbClr val="FF99CC">
                      <a:lumMod val="99000"/>
                    </a:srgbClr>
                  </a:gs>
                </a:gsLst>
                <a:lin ang="5400000" scaled="0"/>
              </a:gradFill>
              <a:ln w="3175">
                <a:noFill/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h="25400"/>
              </a:sp3d>
            </c:spPr>
            <c:extLst>
              <c:ext xmlns:c16="http://schemas.microsoft.com/office/drawing/2014/chart" uri="{C3380CC4-5D6E-409C-BE32-E72D297353CC}">
                <c16:uniqueId val="{00000007-E07E-4A66-9442-18B1E50BEB7E}"/>
              </c:ext>
            </c:extLst>
          </c:dPt>
          <c:dLbls>
            <c:dLbl>
              <c:idx val="0"/>
              <c:layout>
                <c:manualLayout>
                  <c:x val="-0.18170756503538324"/>
                  <c:y val="-0.16385620336783746"/>
                </c:manualLayout>
              </c:layout>
              <c:tx>
                <c:rich>
                  <a:bodyPr/>
                  <a:lstStyle/>
                  <a:p>
                    <a:pPr>
                      <a:defRPr sz="10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sz="10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bezr. w wieku do 30 r.ż.</a:t>
                    </a:r>
                  </a:p>
                  <a:p>
                    <a:pPr>
                      <a:defRPr sz="10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sz="10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tj. 24,0 proc.</a:t>
                    </a:r>
                  </a:p>
                </c:rich>
              </c:tx>
              <c:numFmt formatCode="#,##0.0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07E-4A66-9442-18B1E50BEB7E}"/>
                </c:ext>
              </c:extLst>
            </c:dLbl>
            <c:dLbl>
              <c:idx val="1"/>
              <c:layout>
                <c:manualLayout>
                  <c:x val="0.2170726659232779"/>
                  <c:y val="-0.15522704906562237"/>
                </c:manualLayout>
              </c:layout>
              <c:tx>
                <c:rich>
                  <a:bodyPr/>
                  <a:lstStyle/>
                  <a:p>
                    <a:pPr>
                      <a:defRPr sz="10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sz="10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bezrobotni w wieku 31-50 lat tj. 50,8 proc.</a:t>
                    </a:r>
                    <a:endParaRPr lang="en-US" sz="1000"/>
                  </a:p>
                </c:rich>
              </c:tx>
              <c:numFmt formatCode="#,##0.0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07E-4A66-9442-18B1E50BEB7E}"/>
                </c:ext>
              </c:extLst>
            </c:dLbl>
            <c:dLbl>
              <c:idx val="2"/>
              <c:layout>
                <c:manualLayout>
                  <c:x val="-0.16347875840525575"/>
                  <c:y val="8.6370945444628547E-2"/>
                </c:manualLayout>
              </c:layout>
              <c:tx>
                <c:rich>
                  <a:bodyPr/>
                  <a:lstStyle/>
                  <a:p>
                    <a:pPr>
                      <a:defRPr sz="10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sz="1000"/>
                      <a:t>bezr. w wieku pow. 50 lat tj. 25,2 proc.</a:t>
                    </a:r>
                  </a:p>
                </c:rich>
              </c:tx>
              <c:numFmt formatCode="#,##0.0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E07E-4A66-9442-18B1E50BEB7E}"/>
                </c:ext>
              </c:extLst>
            </c:dLbl>
            <c:dLbl>
              <c:idx val="3"/>
              <c:layout>
                <c:manualLayout>
                  <c:x val="6.8508509327532052E-2"/>
                  <c:y val="-0.32730992158199795"/>
                </c:manualLayout>
              </c:layout>
              <c:tx>
                <c:rich>
                  <a:bodyPr/>
                  <a:lstStyle/>
                  <a:p>
                    <a:r>
                      <a:rPr lang="pl-PL" sz="800"/>
                      <a:t>Usługi</a:t>
                    </a:r>
                  </a:p>
                  <a:p>
                    <a:r>
                      <a:rPr lang="pl-PL" sz="800"/>
                      <a:t>31,8 %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07E-4A66-9442-18B1E50BEB7E}"/>
                </c:ext>
              </c:extLst>
            </c:dLbl>
            <c:dLbl>
              <c:idx val="4"/>
              <c:layout>
                <c:manualLayout>
                  <c:x val="-0.31219512845254532"/>
                  <c:y val="-1.0222284161382482E-2"/>
                </c:manualLayout>
              </c:layout>
              <c:tx>
                <c:rich>
                  <a:bodyPr/>
                  <a:lstStyle/>
                  <a:p>
                    <a:r>
                      <a:rPr lang="pl-PL" sz="800"/>
                      <a:t>1000 i więcej</a:t>
                    </a:r>
                  </a:p>
                  <a:p>
                    <a:r>
                      <a:rPr lang="en-US" sz="800"/>
                      <a:t>0,0</a:t>
                    </a:r>
                    <a:r>
                      <a:rPr lang="pl-PL" sz="800"/>
                      <a:t>2 %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E07E-4A66-9442-18B1E50BEB7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T.XIV!$U$20:$U$22</c:f>
              <c:strCache>
                <c:ptCount val="3"/>
                <c:pt idx="0">
                  <c:v>do 30</c:v>
                </c:pt>
                <c:pt idx="1">
                  <c:v>31-50</c:v>
                </c:pt>
                <c:pt idx="2">
                  <c:v>pow.50</c:v>
                </c:pt>
              </c:strCache>
            </c:strRef>
          </c:cat>
          <c:val>
            <c:numRef>
              <c:f>T.XIV!$W$20:$W$22</c:f>
              <c:numCache>
                <c:formatCode>0.0</c:formatCode>
                <c:ptCount val="3"/>
                <c:pt idx="0">
                  <c:v>24.915467847042912</c:v>
                </c:pt>
                <c:pt idx="1">
                  <c:v>50.225931390630763</c:v>
                </c:pt>
                <c:pt idx="2">
                  <c:v>24.858600762326326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07E-4A66-9442-18B1E50BE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 w="3175">
      <a:noFill/>
    </a:ln>
    <a:effectLst>
      <a:innerShdw blurRad="63500" dist="50800" dir="11340000">
        <a:schemeClr val="accent4">
          <a:lumMod val="60000"/>
          <a:lumOff val="40000"/>
          <a:alpha val="50000"/>
        </a:schemeClr>
      </a:innerShdw>
    </a:effectLst>
    <a:scene3d>
      <a:camera prst="orthographicFront"/>
      <a:lightRig rig="threePt" dir="t"/>
    </a:scene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100" b="0">
                <a:latin typeface="Arial" panose="020B0604020202020204" pitchFamily="34" charset="0"/>
                <a:cs typeface="Arial" panose="020B0604020202020204" pitchFamily="34" charset="0"/>
              </a:rPr>
              <a:t>oferty ogółem, w półroczach </a:t>
            </a:r>
          </a:p>
        </c:rich>
      </c:tx>
      <c:layout>
        <c:manualLayout>
          <c:xMode val="edge"/>
          <c:yMode val="edge"/>
          <c:x val="8.4798714392203794E-2"/>
          <c:y val="5.61700986964377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025588762396E-2"/>
          <c:w val="0.88242453865517367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T.XX!$L$10</c:f>
              <c:strCache>
                <c:ptCount val="1"/>
                <c:pt idx="0">
                  <c:v>oferty og. w Ip. danego roku</c:v>
                </c:pt>
              </c:strCache>
            </c:strRef>
          </c:tx>
          <c:spPr>
            <a:ln w="571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T.XX!$K$12:$K$36</c:f>
              <c:strCache>
                <c:ptCount val="25"/>
                <c:pt idx="0">
                  <c:v>Ip.99</c:v>
                </c:pt>
                <c:pt idx="1">
                  <c:v>Ip.00</c:v>
                </c:pt>
                <c:pt idx="2">
                  <c:v>Ip.01</c:v>
                </c:pt>
                <c:pt idx="3">
                  <c:v>Ip.02</c:v>
                </c:pt>
                <c:pt idx="4">
                  <c:v>Ip.03</c:v>
                </c:pt>
                <c:pt idx="5">
                  <c:v>Ip.04</c:v>
                </c:pt>
                <c:pt idx="6">
                  <c:v>Ip.05</c:v>
                </c:pt>
                <c:pt idx="7">
                  <c:v>Ip.06</c:v>
                </c:pt>
                <c:pt idx="8">
                  <c:v>Ip.07</c:v>
                </c:pt>
                <c:pt idx="9">
                  <c:v>Ip.08</c:v>
                </c:pt>
                <c:pt idx="10">
                  <c:v>Ip.09</c:v>
                </c:pt>
                <c:pt idx="11">
                  <c:v>Ip.10</c:v>
                </c:pt>
                <c:pt idx="12">
                  <c:v>Ip.11</c:v>
                </c:pt>
                <c:pt idx="13">
                  <c:v>Ip.12</c:v>
                </c:pt>
                <c:pt idx="14">
                  <c:v>Ip.13</c:v>
                </c:pt>
                <c:pt idx="15">
                  <c:v>Ip.14</c:v>
                </c:pt>
                <c:pt idx="16">
                  <c:v>Ip.15</c:v>
                </c:pt>
                <c:pt idx="17">
                  <c:v>Ip.16</c:v>
                </c:pt>
                <c:pt idx="18">
                  <c:v>Ip.17</c:v>
                </c:pt>
                <c:pt idx="19">
                  <c:v>Ip.18</c:v>
                </c:pt>
                <c:pt idx="20">
                  <c:v>Ip.19</c:v>
                </c:pt>
                <c:pt idx="21">
                  <c:v>Ip.20</c:v>
                </c:pt>
                <c:pt idx="22">
                  <c:v>Ip.21</c:v>
                </c:pt>
                <c:pt idx="23">
                  <c:v>Ip.22</c:v>
                </c:pt>
                <c:pt idx="24">
                  <c:v>Ip.23</c:v>
                </c:pt>
              </c:strCache>
            </c:strRef>
          </c:cat>
          <c:val>
            <c:numRef>
              <c:f>T.XX!$L$12:$L$36</c:f>
              <c:numCache>
                <c:formatCode>#,##0</c:formatCode>
                <c:ptCount val="25"/>
                <c:pt idx="0">
                  <c:v>19411</c:v>
                </c:pt>
                <c:pt idx="1">
                  <c:v>16479</c:v>
                </c:pt>
                <c:pt idx="2">
                  <c:v>12461</c:v>
                </c:pt>
                <c:pt idx="3">
                  <c:v>12658</c:v>
                </c:pt>
                <c:pt idx="4">
                  <c:v>19490</c:v>
                </c:pt>
                <c:pt idx="5">
                  <c:v>21329</c:v>
                </c:pt>
                <c:pt idx="6">
                  <c:v>21427</c:v>
                </c:pt>
                <c:pt idx="7">
                  <c:v>25517</c:v>
                </c:pt>
                <c:pt idx="8">
                  <c:v>27392</c:v>
                </c:pt>
                <c:pt idx="9">
                  <c:v>28169</c:v>
                </c:pt>
                <c:pt idx="10">
                  <c:v>25139</c:v>
                </c:pt>
                <c:pt idx="11">
                  <c:v>30966</c:v>
                </c:pt>
                <c:pt idx="12">
                  <c:v>24104</c:v>
                </c:pt>
                <c:pt idx="13">
                  <c:v>24066</c:v>
                </c:pt>
                <c:pt idx="14">
                  <c:v>31113</c:v>
                </c:pt>
                <c:pt idx="15">
                  <c:v>31924</c:v>
                </c:pt>
                <c:pt idx="16">
                  <c:v>33364</c:v>
                </c:pt>
                <c:pt idx="17">
                  <c:v>38617</c:v>
                </c:pt>
                <c:pt idx="18">
                  <c:v>41480</c:v>
                </c:pt>
                <c:pt idx="19">
                  <c:v>34404</c:v>
                </c:pt>
                <c:pt idx="20">
                  <c:v>31188</c:v>
                </c:pt>
                <c:pt idx="21">
                  <c:v>15976</c:v>
                </c:pt>
                <c:pt idx="22">
                  <c:v>24927</c:v>
                </c:pt>
                <c:pt idx="23" formatCode="General">
                  <c:v>27664</c:v>
                </c:pt>
                <c:pt idx="24" formatCode="General">
                  <c:v>23753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610-4878-94D1-CDA4B4D3B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405888"/>
        <c:axId val="216407424"/>
      </c:lineChart>
      <c:catAx>
        <c:axId val="216405888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2">
                  <a:lumMod val="20000"/>
                  <a:lumOff val="8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/>
          <a:lstStyle/>
          <a:p>
            <a:pPr>
              <a:defRPr sz="7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16407424"/>
        <c:crosses val="autoZero"/>
        <c:auto val="1"/>
        <c:lblAlgn val="ctr"/>
        <c:lblOffset val="100"/>
        <c:noMultiLvlLbl val="0"/>
      </c:catAx>
      <c:valAx>
        <c:axId val="216407424"/>
        <c:scaling>
          <c:orientation val="minMax"/>
          <c:max val="45000"/>
          <c:min val="0"/>
        </c:scaling>
        <c:delete val="0"/>
        <c:axPos val="l"/>
        <c:majorGridlines>
          <c:spPr>
            <a:ln>
              <a:solidFill>
                <a:srgbClr val="F6862A">
                  <a:alpha val="32000"/>
                </a:srgbClr>
              </a:solidFill>
            </a:ln>
          </c:spPr>
        </c:majorGridlines>
        <c:minorGridlines>
          <c:spPr>
            <a:ln w="6350">
              <a:solidFill>
                <a:srgbClr val="E4AB94">
                  <a:alpha val="82000"/>
                </a:srgb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700">
                <a:latin typeface="Times New Roman" panose="02020603050405020304" pitchFamily="18" charset="0"/>
                <a:ea typeface="Verdana" panose="020B0604030504040204" pitchFamily="34" charset="0"/>
                <a:cs typeface="Times New Roman" panose="02020603050405020304" pitchFamily="18" charset="0"/>
              </a:defRPr>
            </a:pPr>
            <a:endParaRPr lang="pl-PL"/>
          </a:p>
        </c:txPr>
        <c:crossAx val="216405888"/>
        <c:crosses val="autoZero"/>
        <c:crossBetween val="midCat"/>
        <c:majorUnit val="2000"/>
        <c:minorUnit val="500"/>
      </c:valAx>
      <c:spPr>
        <a:noFill/>
      </c:spPr>
    </c:plotArea>
    <c:legend>
      <c:legendPos val="t"/>
      <c:layout>
        <c:manualLayout>
          <c:xMode val="edge"/>
          <c:yMode val="edge"/>
          <c:x val="0.22838436021457345"/>
          <c:y val="0.70837431174364174"/>
          <c:w val="0.66345844908285179"/>
          <c:h val="9.1990504863362674E-2"/>
        </c:manualLayout>
      </c:layout>
      <c:overlay val="0"/>
      <c:txPr>
        <a:bodyPr/>
        <a:lstStyle/>
        <a:p>
          <a:pPr>
            <a:defRPr sz="1100">
              <a:latin typeface="Arial" panose="020B0604020202020204" pitchFamily="34" charset="0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810551558753"/>
          <c:y val="5.1400554097404488E-2"/>
          <c:w val="0.87061179402934341"/>
          <c:h val="0.84945465150189559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T.XX!$H$10</c:f>
              <c:strCache>
                <c:ptCount val="1"/>
                <c:pt idx="0">
                  <c:v>oferty og. w roku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6350" cmpd="sng">
              <a:solidFill>
                <a:schemeClr val="bg1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T.XX!$G$12:$G$35</c:f>
              <c:numCache>
                <c:formatCode>General</c:formatCod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T.XX!$H$12:$H$35</c:f>
              <c:numCache>
                <c:formatCode>#,##0</c:formatCode>
                <c:ptCount val="24"/>
                <c:pt idx="0">
                  <c:v>38322</c:v>
                </c:pt>
                <c:pt idx="1">
                  <c:v>31625</c:v>
                </c:pt>
                <c:pt idx="2">
                  <c:v>25129</c:v>
                </c:pt>
                <c:pt idx="3">
                  <c:v>28470</c:v>
                </c:pt>
                <c:pt idx="4">
                  <c:v>39334</c:v>
                </c:pt>
                <c:pt idx="5">
                  <c:v>40346</c:v>
                </c:pt>
                <c:pt idx="6">
                  <c:v>41016</c:v>
                </c:pt>
                <c:pt idx="7">
                  <c:v>48932</c:v>
                </c:pt>
                <c:pt idx="8">
                  <c:v>49327</c:v>
                </c:pt>
                <c:pt idx="9">
                  <c:v>51046</c:v>
                </c:pt>
                <c:pt idx="10">
                  <c:v>47263</c:v>
                </c:pt>
                <c:pt idx="11">
                  <c:v>57481</c:v>
                </c:pt>
                <c:pt idx="12">
                  <c:v>42554</c:v>
                </c:pt>
                <c:pt idx="13">
                  <c:v>48689</c:v>
                </c:pt>
                <c:pt idx="14">
                  <c:v>54304</c:v>
                </c:pt>
                <c:pt idx="15">
                  <c:v>60555</c:v>
                </c:pt>
                <c:pt idx="16">
                  <c:v>61276</c:v>
                </c:pt>
                <c:pt idx="17">
                  <c:v>72410</c:v>
                </c:pt>
                <c:pt idx="18">
                  <c:v>75836</c:v>
                </c:pt>
                <c:pt idx="19">
                  <c:v>61438</c:v>
                </c:pt>
                <c:pt idx="20">
                  <c:v>53791</c:v>
                </c:pt>
                <c:pt idx="21">
                  <c:v>37090</c:v>
                </c:pt>
                <c:pt idx="22">
                  <c:v>50760</c:v>
                </c:pt>
                <c:pt idx="23">
                  <c:v>50402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71-4964-BDEB-E8152E6C0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overlap val="73"/>
        <c:axId val="216728320"/>
        <c:axId val="216729856"/>
      </c:barChart>
      <c:catAx>
        <c:axId val="216728320"/>
        <c:scaling>
          <c:orientation val="minMax"/>
        </c:scaling>
        <c:delete val="0"/>
        <c:axPos val="l"/>
        <c:majorGridlines>
          <c:spPr>
            <a:ln>
              <a:solidFill>
                <a:srgbClr val="F6862A">
                  <a:alpha val="38000"/>
                </a:srgb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216729856"/>
        <c:crosses val="autoZero"/>
        <c:auto val="1"/>
        <c:lblAlgn val="ctr"/>
        <c:lblOffset val="100"/>
        <c:noMultiLvlLbl val="0"/>
      </c:catAx>
      <c:valAx>
        <c:axId val="216729856"/>
        <c:scaling>
          <c:orientation val="minMax"/>
          <c:max val="80000"/>
          <c:min val="0"/>
        </c:scaling>
        <c:delete val="0"/>
        <c:axPos val="b"/>
        <c:minorGridlines>
          <c:spPr>
            <a:ln>
              <a:solidFill>
                <a:schemeClr val="accent2">
                  <a:lumMod val="20000"/>
                  <a:lumOff val="80000"/>
                  <a:alpha val="33000"/>
                </a:schemeClr>
              </a:solidFill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2">
                <a:lumMod val="40000"/>
                <a:lumOff val="60000"/>
                <a:alpha val="52000"/>
              </a:schemeClr>
            </a:solidFill>
          </a:ln>
        </c:spPr>
        <c:txPr>
          <a:bodyPr/>
          <a:lstStyle/>
          <a:p>
            <a:pPr>
              <a:defRPr sz="9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216728320"/>
        <c:crosses val="autoZero"/>
        <c:crossBetween val="between"/>
        <c:majorUnit val="10000"/>
        <c:minorUnit val="1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4582606029771E-2"/>
          <c:y val="5.1400554097404488E-2"/>
          <c:w val="0.88739828028072809"/>
          <c:h val="0.8326195683872849"/>
        </c:manualLayout>
      </c:layout>
      <c:lineChart>
        <c:grouping val="standard"/>
        <c:varyColors val="0"/>
        <c:ser>
          <c:idx val="0"/>
          <c:order val="0"/>
          <c:tx>
            <c:strRef>
              <c:f>T.XX!$H$10</c:f>
              <c:strCache>
                <c:ptCount val="1"/>
                <c:pt idx="0">
                  <c:v>oferty og. w roku</c:v>
                </c:pt>
              </c:strCache>
            </c:strRef>
          </c:tx>
          <c:spPr>
            <a:ln w="63500">
              <a:solidFill>
                <a:srgbClr val="DD9679">
                  <a:alpha val="40000"/>
                </a:srgbClr>
              </a:solidFill>
            </a:ln>
          </c:spPr>
          <c:marker>
            <c:symbol val="circle"/>
            <c:size val="4"/>
            <c:spPr>
              <a:solidFill>
                <a:schemeClr val="bg1"/>
              </a:solidFill>
              <a:ln w="28575">
                <a:solidFill>
                  <a:schemeClr val="tx1"/>
                </a:solidFill>
              </a:ln>
            </c:spPr>
          </c:marker>
          <c:cat>
            <c:numRef>
              <c:f>T.XX!$G$12:$G$35</c:f>
              <c:numCache>
                <c:formatCode>General</c:formatCod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T.XX!$H$12:$H$35</c:f>
              <c:numCache>
                <c:formatCode>#,##0</c:formatCode>
                <c:ptCount val="24"/>
                <c:pt idx="0">
                  <c:v>38322</c:v>
                </c:pt>
                <c:pt idx="1">
                  <c:v>31625</c:v>
                </c:pt>
                <c:pt idx="2">
                  <c:v>25129</c:v>
                </c:pt>
                <c:pt idx="3">
                  <c:v>28470</c:v>
                </c:pt>
                <c:pt idx="4">
                  <c:v>39334</c:v>
                </c:pt>
                <c:pt idx="5">
                  <c:v>40346</c:v>
                </c:pt>
                <c:pt idx="6">
                  <c:v>41016</c:v>
                </c:pt>
                <c:pt idx="7">
                  <c:v>48932</c:v>
                </c:pt>
                <c:pt idx="8">
                  <c:v>49327</c:v>
                </c:pt>
                <c:pt idx="9">
                  <c:v>51046</c:v>
                </c:pt>
                <c:pt idx="10">
                  <c:v>47263</c:v>
                </c:pt>
                <c:pt idx="11">
                  <c:v>57481</c:v>
                </c:pt>
                <c:pt idx="12">
                  <c:v>42554</c:v>
                </c:pt>
                <c:pt idx="13">
                  <c:v>48689</c:v>
                </c:pt>
                <c:pt idx="14">
                  <c:v>54304</c:v>
                </c:pt>
                <c:pt idx="15">
                  <c:v>60555</c:v>
                </c:pt>
                <c:pt idx="16">
                  <c:v>61276</c:v>
                </c:pt>
                <c:pt idx="17">
                  <c:v>72410</c:v>
                </c:pt>
                <c:pt idx="18">
                  <c:v>75836</c:v>
                </c:pt>
                <c:pt idx="19">
                  <c:v>61438</c:v>
                </c:pt>
                <c:pt idx="20">
                  <c:v>53791</c:v>
                </c:pt>
                <c:pt idx="21">
                  <c:v>37090</c:v>
                </c:pt>
                <c:pt idx="22">
                  <c:v>50760</c:v>
                </c:pt>
                <c:pt idx="23">
                  <c:v>50402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F08-4A6D-B741-27412AD17181}"/>
            </c:ext>
          </c:extLst>
        </c:ser>
        <c:ser>
          <c:idx val="1"/>
          <c:order val="1"/>
          <c:tx>
            <c:strRef>
              <c:f>T.XX!$I$10</c:f>
              <c:strCache>
                <c:ptCount val="1"/>
                <c:pt idx="0">
                  <c:v>w tym subs. w roku</c:v>
                </c:pt>
              </c:strCache>
            </c:strRef>
          </c:tx>
          <c:spPr>
            <a:ln w="1587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T.XX!$G$12:$G$35</c:f>
              <c:numCache>
                <c:formatCode>General</c:formatCod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T.XX!$I$12:$I$35</c:f>
              <c:numCache>
                <c:formatCode>#,##0</c:formatCode>
                <c:ptCount val="24"/>
                <c:pt idx="0">
                  <c:v>14842</c:v>
                </c:pt>
                <c:pt idx="1">
                  <c:v>14996</c:v>
                </c:pt>
                <c:pt idx="2">
                  <c:v>8521</c:v>
                </c:pt>
                <c:pt idx="3">
                  <c:v>12944</c:v>
                </c:pt>
                <c:pt idx="4">
                  <c:v>22556</c:v>
                </c:pt>
                <c:pt idx="5">
                  <c:v>20038</c:v>
                </c:pt>
                <c:pt idx="6">
                  <c:v>18757</c:v>
                </c:pt>
                <c:pt idx="7">
                  <c:v>20054</c:v>
                </c:pt>
                <c:pt idx="8">
                  <c:v>24494</c:v>
                </c:pt>
                <c:pt idx="9">
                  <c:v>28458</c:v>
                </c:pt>
                <c:pt idx="10">
                  <c:v>28957</c:v>
                </c:pt>
                <c:pt idx="11">
                  <c:v>35663</c:v>
                </c:pt>
                <c:pt idx="12">
                  <c:v>16768</c:v>
                </c:pt>
                <c:pt idx="13">
                  <c:v>25146</c:v>
                </c:pt>
                <c:pt idx="14">
                  <c:v>26050</c:v>
                </c:pt>
                <c:pt idx="15">
                  <c:v>27292</c:v>
                </c:pt>
                <c:pt idx="16">
                  <c:v>28848</c:v>
                </c:pt>
                <c:pt idx="17">
                  <c:v>31407</c:v>
                </c:pt>
                <c:pt idx="18">
                  <c:v>30828</c:v>
                </c:pt>
                <c:pt idx="19">
                  <c:v>20784</c:v>
                </c:pt>
                <c:pt idx="20">
                  <c:v>20491</c:v>
                </c:pt>
                <c:pt idx="21">
                  <c:v>14301</c:v>
                </c:pt>
                <c:pt idx="22">
                  <c:v>17820</c:v>
                </c:pt>
                <c:pt idx="23">
                  <c:v>19293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F08-4A6D-B741-27412AD17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747008"/>
        <c:axId val="216756992"/>
      </c:lineChart>
      <c:catAx>
        <c:axId val="216747008"/>
        <c:scaling>
          <c:orientation val="minMax"/>
        </c:scaling>
        <c:delete val="0"/>
        <c:axPos val="b"/>
        <c:majorGridlines>
          <c:spPr>
            <a:ln>
              <a:solidFill>
                <a:schemeClr val="accent2">
                  <a:lumMod val="60000"/>
                  <a:lumOff val="40000"/>
                  <a:alpha val="2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216756992"/>
        <c:crosses val="autoZero"/>
        <c:auto val="1"/>
        <c:lblAlgn val="ctr"/>
        <c:lblOffset val="100"/>
        <c:noMultiLvlLbl val="0"/>
      </c:catAx>
      <c:valAx>
        <c:axId val="216756992"/>
        <c:scaling>
          <c:orientation val="minMax"/>
        </c:scaling>
        <c:delete val="0"/>
        <c:axPos val="l"/>
        <c:minorGridlines>
          <c:spPr>
            <a:ln>
              <a:solidFill>
                <a:schemeClr val="accent2">
                  <a:lumMod val="60000"/>
                  <a:lumOff val="40000"/>
                  <a:alpha val="59000"/>
                </a:schemeClr>
              </a:solidFill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  <a:alpha val="52000"/>
              </a:schemeClr>
            </a:solidFill>
          </a:ln>
        </c:spPr>
        <c:txPr>
          <a:bodyPr/>
          <a:lstStyle/>
          <a:p>
            <a:pPr>
              <a:defRPr sz="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21674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8003025890242998E-2"/>
          <c:y val="5.2001836411920674E-2"/>
          <c:w val="0.62425671607441391"/>
          <c:h val="0.10659437549709831"/>
        </c:manualLayout>
      </c:layout>
      <c:overlay val="0"/>
      <c:spPr>
        <a:noFill/>
      </c:spPr>
      <c:txPr>
        <a:bodyPr/>
        <a:lstStyle/>
        <a:p>
          <a:pPr>
            <a:defRPr sz="9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4582606029771E-2"/>
          <c:y val="5.1400554097404488E-2"/>
          <c:w val="0.88739828028072809"/>
          <c:h val="0.8326195683872849"/>
        </c:manualLayout>
      </c:layout>
      <c:lineChart>
        <c:grouping val="standard"/>
        <c:varyColors val="0"/>
        <c:ser>
          <c:idx val="2"/>
          <c:order val="0"/>
          <c:tx>
            <c:strRef>
              <c:f>T.XX!$L$10</c:f>
              <c:strCache>
                <c:ptCount val="1"/>
                <c:pt idx="0">
                  <c:v>oferty og. w Ip. danego roku</c:v>
                </c:pt>
              </c:strCache>
            </c:strRef>
          </c:tx>
          <c:spPr>
            <a:ln w="41275" cmpd="sng">
              <a:solidFill>
                <a:schemeClr val="tx2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0137210427409024E-2"/>
                  <c:y val="-3.3878149576312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83-4E83-851A-DD20C3526547}"/>
                </c:ext>
              </c:extLst>
            </c:dLbl>
            <c:dLbl>
              <c:idx val="1"/>
              <c:layout>
                <c:manualLayout>
                  <c:x val="-4.0137210427409004E-2"/>
                  <c:y val="-3.83358008363536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83-4E83-851A-DD20C3526547}"/>
                </c:ext>
              </c:extLst>
            </c:dLbl>
            <c:dLbl>
              <c:idx val="2"/>
              <c:layout>
                <c:manualLayout>
                  <c:x val="-4.0137210427409024E-2"/>
                  <c:y val="2.4071316804221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83-4E83-851A-DD20C3526547}"/>
                </c:ext>
              </c:extLst>
            </c:dLbl>
            <c:dLbl>
              <c:idx val="3"/>
              <c:layout>
                <c:manualLayout>
                  <c:x val="-4.0137210427409024E-2"/>
                  <c:y val="2.85289680642632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83-4E83-851A-DD20C3526547}"/>
                </c:ext>
              </c:extLst>
            </c:dLbl>
            <c:dLbl>
              <c:idx val="4"/>
              <c:layout>
                <c:manualLayout>
                  <c:x val="-2.9845618010124659E-2"/>
                  <c:y val="2.85289680642631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83-4E83-851A-DD20C3526547}"/>
                </c:ext>
              </c:extLst>
            </c:dLbl>
            <c:dLbl>
              <c:idx val="5"/>
              <c:layout>
                <c:manualLayout>
                  <c:x val="-4.0137210427409024E-2"/>
                  <c:y val="-3.83358008363536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83-4E83-851A-DD20C3526547}"/>
                </c:ext>
              </c:extLst>
            </c:dLbl>
            <c:dLbl>
              <c:idx val="6"/>
              <c:layout>
                <c:manualLayout>
                  <c:x val="-4.0137210427409024E-2"/>
                  <c:y val="-2.94204983162714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883-4E83-851A-DD20C3526547}"/>
                </c:ext>
              </c:extLst>
            </c:dLbl>
            <c:dLbl>
              <c:idx val="7"/>
              <c:layout>
                <c:manualLayout>
                  <c:x val="-3.8078891943952226E-2"/>
                  <c:y val="-3.3878149576312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83-4E83-851A-DD20C3526547}"/>
                </c:ext>
              </c:extLst>
            </c:dLbl>
            <c:dLbl>
              <c:idx val="8"/>
              <c:layout>
                <c:manualLayout>
                  <c:x val="-3.8078891943952149E-2"/>
                  <c:y val="-3.3878149576312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883-4E83-851A-DD20C3526547}"/>
                </c:ext>
              </c:extLst>
            </c:dLbl>
            <c:dLbl>
              <c:idx val="9"/>
              <c:layout>
                <c:manualLayout>
                  <c:x val="-4.0137210427409024E-2"/>
                  <c:y val="-2.94204983162714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883-4E83-851A-DD20C3526547}"/>
                </c:ext>
              </c:extLst>
            </c:dLbl>
            <c:dLbl>
              <c:idx val="10"/>
              <c:layout>
                <c:manualLayout>
                  <c:x val="-4.0137210427409024E-2"/>
                  <c:y val="-3.3878149576312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883-4E83-851A-DD20C3526547}"/>
                </c:ext>
              </c:extLst>
            </c:dLbl>
            <c:dLbl>
              <c:idx val="11"/>
              <c:layout>
                <c:manualLayout>
                  <c:x val="-4.0137210427409024E-2"/>
                  <c:y val="-3.83358008363536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883-4E83-851A-DD20C3526547}"/>
                </c:ext>
              </c:extLst>
            </c:dLbl>
            <c:dLbl>
              <c:idx val="12"/>
              <c:layout>
                <c:manualLayout>
                  <c:x val="-2.7770119860585391E-2"/>
                  <c:y val="-2.94204983162714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883-4E83-851A-DD20C35265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T.XX!$G$12:$G$36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T.XX!$L$12:$L$36</c:f>
              <c:numCache>
                <c:formatCode>#,##0</c:formatCode>
                <c:ptCount val="25"/>
                <c:pt idx="0">
                  <c:v>19411</c:v>
                </c:pt>
                <c:pt idx="1">
                  <c:v>16479</c:v>
                </c:pt>
                <c:pt idx="2">
                  <c:v>12461</c:v>
                </c:pt>
                <c:pt idx="3">
                  <c:v>12658</c:v>
                </c:pt>
                <c:pt idx="4">
                  <c:v>19490</c:v>
                </c:pt>
                <c:pt idx="5">
                  <c:v>21329</c:v>
                </c:pt>
                <c:pt idx="6">
                  <c:v>21427</c:v>
                </c:pt>
                <c:pt idx="7">
                  <c:v>25517</c:v>
                </c:pt>
                <c:pt idx="8">
                  <c:v>27392</c:v>
                </c:pt>
                <c:pt idx="9">
                  <c:v>28169</c:v>
                </c:pt>
                <c:pt idx="10">
                  <c:v>25139</c:v>
                </c:pt>
                <c:pt idx="11">
                  <c:v>30966</c:v>
                </c:pt>
                <c:pt idx="12">
                  <c:v>24104</c:v>
                </c:pt>
                <c:pt idx="13">
                  <c:v>24066</c:v>
                </c:pt>
                <c:pt idx="14">
                  <c:v>31113</c:v>
                </c:pt>
                <c:pt idx="15">
                  <c:v>31924</c:v>
                </c:pt>
                <c:pt idx="16">
                  <c:v>33364</c:v>
                </c:pt>
                <c:pt idx="17">
                  <c:v>38617</c:v>
                </c:pt>
                <c:pt idx="18">
                  <c:v>41480</c:v>
                </c:pt>
                <c:pt idx="19">
                  <c:v>34404</c:v>
                </c:pt>
                <c:pt idx="20">
                  <c:v>31188</c:v>
                </c:pt>
                <c:pt idx="21">
                  <c:v>15976</c:v>
                </c:pt>
                <c:pt idx="22">
                  <c:v>24927</c:v>
                </c:pt>
                <c:pt idx="23" formatCode="General">
                  <c:v>27664</c:v>
                </c:pt>
                <c:pt idx="24" formatCode="General">
                  <c:v>23753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D-A883-4E83-851A-DD20C3526547}"/>
            </c:ext>
          </c:extLst>
        </c:ser>
        <c:ser>
          <c:idx val="3"/>
          <c:order val="1"/>
          <c:tx>
            <c:strRef>
              <c:f>T.XX!$N$10</c:f>
              <c:strCache>
                <c:ptCount val="1"/>
                <c:pt idx="0">
                  <c:v>subsydia w Ip. danego roku</c:v>
                </c:pt>
              </c:strCache>
            </c:strRef>
          </c:tx>
          <c:spPr>
            <a:ln w="63500" cmpd="tri">
              <a:solidFill>
                <a:schemeClr val="accent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T.XX!$G$12:$G$36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T.XX!$N$12:$N$36</c:f>
              <c:numCache>
                <c:formatCode>#,##0</c:formatCode>
                <c:ptCount val="25"/>
                <c:pt idx="2">
                  <c:v>4362</c:v>
                </c:pt>
                <c:pt idx="3">
                  <c:v>4639</c:v>
                </c:pt>
                <c:pt idx="4">
                  <c:v>11201</c:v>
                </c:pt>
                <c:pt idx="6">
                  <c:v>10813</c:v>
                </c:pt>
                <c:pt idx="7">
                  <c:v>9779</c:v>
                </c:pt>
                <c:pt idx="8">
                  <c:v>14414</c:v>
                </c:pt>
                <c:pt idx="9">
                  <c:v>15639</c:v>
                </c:pt>
                <c:pt idx="10">
                  <c:v>16435</c:v>
                </c:pt>
                <c:pt idx="11">
                  <c:v>21368</c:v>
                </c:pt>
                <c:pt idx="12">
                  <c:v>10464</c:v>
                </c:pt>
                <c:pt idx="13">
                  <c:v>12684</c:v>
                </c:pt>
                <c:pt idx="14">
                  <c:v>17521</c:v>
                </c:pt>
                <c:pt idx="15">
                  <c:v>16121</c:v>
                </c:pt>
                <c:pt idx="16">
                  <c:v>16952</c:v>
                </c:pt>
                <c:pt idx="17">
                  <c:v>19558</c:v>
                </c:pt>
                <c:pt idx="18">
                  <c:v>17945</c:v>
                </c:pt>
                <c:pt idx="19">
                  <c:v>12024</c:v>
                </c:pt>
                <c:pt idx="20">
                  <c:v>12447</c:v>
                </c:pt>
                <c:pt idx="21">
                  <c:v>6536</c:v>
                </c:pt>
                <c:pt idx="22">
                  <c:v>9903</c:v>
                </c:pt>
                <c:pt idx="23" formatCode="General">
                  <c:v>11166</c:v>
                </c:pt>
                <c:pt idx="24" formatCode="General">
                  <c:v>10020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E-A883-4E83-851A-DD20C3526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778240"/>
        <c:axId val="216779776"/>
      </c:lineChart>
      <c:catAx>
        <c:axId val="216778240"/>
        <c:scaling>
          <c:orientation val="minMax"/>
        </c:scaling>
        <c:delete val="0"/>
        <c:axPos val="b"/>
        <c:majorGridlines>
          <c:spPr>
            <a:ln>
              <a:solidFill>
                <a:srgbClr val="F6862A">
                  <a:alpha val="25000"/>
                </a:srgb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216779776"/>
        <c:crosses val="autoZero"/>
        <c:auto val="1"/>
        <c:lblAlgn val="ctr"/>
        <c:lblOffset val="100"/>
        <c:noMultiLvlLbl val="0"/>
      </c:catAx>
      <c:valAx>
        <c:axId val="216779776"/>
        <c:scaling>
          <c:orientation val="minMax"/>
        </c:scaling>
        <c:delete val="0"/>
        <c:axPos val="l"/>
        <c:minorGridlines>
          <c:spPr>
            <a:ln>
              <a:solidFill>
                <a:schemeClr val="accent2">
                  <a:lumMod val="20000"/>
                  <a:lumOff val="80000"/>
                </a:schemeClr>
              </a:solidFill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  <a:alpha val="52000"/>
              </a:schemeClr>
            </a:solidFill>
          </a:ln>
        </c:spPr>
        <c:txPr>
          <a:bodyPr/>
          <a:lstStyle/>
          <a:p>
            <a:pPr>
              <a:defRPr sz="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2167782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8003025890242998E-2"/>
          <c:y val="5.2001836411920674E-2"/>
          <c:w val="0.44640331671178596"/>
          <c:h val="9.663598347357584E-2"/>
        </c:manualLayout>
      </c:layout>
      <c:overlay val="0"/>
      <c:spPr>
        <a:noFill/>
      </c:spPr>
      <c:txPr>
        <a:bodyPr/>
        <a:lstStyle/>
        <a:p>
          <a:pPr>
            <a:defRPr sz="900" b="0">
              <a:latin typeface="Arial" panose="020B0604020202020204" pitchFamily="34" charset="0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b="1">
                <a:latin typeface="Arial" panose="020B0604020202020204" pitchFamily="34" charset="0"/>
                <a:cs typeface="Arial" panose="020B0604020202020204" pitchFamily="34" charset="0"/>
              </a:rPr>
              <a:t>okres I p. w danym roku</a:t>
            </a:r>
          </a:p>
        </c:rich>
      </c:tx>
      <c:layout>
        <c:manualLayout>
          <c:xMode val="edge"/>
          <c:yMode val="edge"/>
          <c:x val="0.33968594752743753"/>
          <c:y val="9.21779542279437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025588762396E-2"/>
          <c:w val="0.88242453865517367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T.XXV!$I$7</c:f>
              <c:strCache>
                <c:ptCount val="1"/>
                <c:pt idx="0">
                  <c:v>zgłoszenia</c:v>
                </c:pt>
              </c:strCache>
            </c:strRef>
          </c:tx>
          <c:spPr>
            <a:ln w="571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T.XXV!$H$8:$H$24</c:f>
              <c:strCache>
                <c:ptCount val="17"/>
                <c:pt idx="0">
                  <c:v>Ip '07</c:v>
                </c:pt>
                <c:pt idx="1">
                  <c:v>Ip '08</c:v>
                </c:pt>
                <c:pt idx="2">
                  <c:v>Ip '09</c:v>
                </c:pt>
                <c:pt idx="3">
                  <c:v>Ip '10</c:v>
                </c:pt>
                <c:pt idx="4">
                  <c:v>Ip '11</c:v>
                </c:pt>
                <c:pt idx="5">
                  <c:v>Ip '12</c:v>
                </c:pt>
                <c:pt idx="6">
                  <c:v>Ip '13</c:v>
                </c:pt>
                <c:pt idx="7">
                  <c:v>Ip '14</c:v>
                </c:pt>
                <c:pt idx="8">
                  <c:v>Ip '15</c:v>
                </c:pt>
                <c:pt idx="9">
                  <c:v>Ip '16</c:v>
                </c:pt>
                <c:pt idx="10">
                  <c:v>Ip '17</c:v>
                </c:pt>
                <c:pt idx="11">
                  <c:v>Ip '18</c:v>
                </c:pt>
                <c:pt idx="12">
                  <c:v>Ip '19</c:v>
                </c:pt>
                <c:pt idx="13">
                  <c:v>IP '20</c:v>
                </c:pt>
                <c:pt idx="14">
                  <c:v>IP '21</c:v>
                </c:pt>
                <c:pt idx="15">
                  <c:v>IP '22</c:v>
                </c:pt>
                <c:pt idx="16">
                  <c:v>IP '23</c:v>
                </c:pt>
              </c:strCache>
            </c:strRef>
          </c:cat>
          <c:val>
            <c:numRef>
              <c:f>T.XXV!$I$8:$I$24</c:f>
              <c:numCache>
                <c:formatCode>#,##0</c:formatCode>
                <c:ptCount val="17"/>
                <c:pt idx="0">
                  <c:v>236</c:v>
                </c:pt>
                <c:pt idx="1">
                  <c:v>1321</c:v>
                </c:pt>
                <c:pt idx="2">
                  <c:v>8218</c:v>
                </c:pt>
                <c:pt idx="3">
                  <c:v>803</c:v>
                </c:pt>
                <c:pt idx="4">
                  <c:v>2044</c:v>
                </c:pt>
                <c:pt idx="5">
                  <c:v>438</c:v>
                </c:pt>
                <c:pt idx="6">
                  <c:v>1134</c:v>
                </c:pt>
                <c:pt idx="7">
                  <c:v>809</c:v>
                </c:pt>
                <c:pt idx="8">
                  <c:v>991</c:v>
                </c:pt>
                <c:pt idx="9">
                  <c:v>264</c:v>
                </c:pt>
                <c:pt idx="10">
                  <c:v>485</c:v>
                </c:pt>
                <c:pt idx="11">
                  <c:v>323</c:v>
                </c:pt>
                <c:pt idx="12">
                  <c:v>835</c:v>
                </c:pt>
                <c:pt idx="13">
                  <c:v>3035</c:v>
                </c:pt>
                <c:pt idx="14">
                  <c:v>88</c:v>
                </c:pt>
                <c:pt idx="15" formatCode="General">
                  <c:v>599</c:v>
                </c:pt>
                <c:pt idx="16" formatCode="General">
                  <c:v>513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7A2-4E54-BA79-78FBB62C2DE6}"/>
            </c:ext>
          </c:extLst>
        </c:ser>
        <c:ser>
          <c:idx val="1"/>
          <c:order val="1"/>
          <c:tx>
            <c:strRef>
              <c:f>T.XXV!$J$7</c:f>
              <c:strCache>
                <c:ptCount val="1"/>
                <c:pt idx="0">
                  <c:v>zwolnienia</c:v>
                </c:pt>
              </c:strCache>
            </c:strRef>
          </c:tx>
          <c:marker>
            <c:symbol val="none"/>
          </c:marker>
          <c:cat>
            <c:strRef>
              <c:f>T.XXV!$H$8:$H$24</c:f>
              <c:strCache>
                <c:ptCount val="17"/>
                <c:pt idx="0">
                  <c:v>Ip '07</c:v>
                </c:pt>
                <c:pt idx="1">
                  <c:v>Ip '08</c:v>
                </c:pt>
                <c:pt idx="2">
                  <c:v>Ip '09</c:v>
                </c:pt>
                <c:pt idx="3">
                  <c:v>Ip '10</c:v>
                </c:pt>
                <c:pt idx="4">
                  <c:v>Ip '11</c:v>
                </c:pt>
                <c:pt idx="5">
                  <c:v>Ip '12</c:v>
                </c:pt>
                <c:pt idx="6">
                  <c:v>Ip '13</c:v>
                </c:pt>
                <c:pt idx="7">
                  <c:v>Ip '14</c:v>
                </c:pt>
                <c:pt idx="8">
                  <c:v>Ip '15</c:v>
                </c:pt>
                <c:pt idx="9">
                  <c:v>Ip '16</c:v>
                </c:pt>
                <c:pt idx="10">
                  <c:v>Ip '17</c:v>
                </c:pt>
                <c:pt idx="11">
                  <c:v>Ip '18</c:v>
                </c:pt>
                <c:pt idx="12">
                  <c:v>Ip '19</c:v>
                </c:pt>
                <c:pt idx="13">
                  <c:v>IP '20</c:v>
                </c:pt>
                <c:pt idx="14">
                  <c:v>IP '21</c:v>
                </c:pt>
                <c:pt idx="15">
                  <c:v>IP '22</c:v>
                </c:pt>
                <c:pt idx="16">
                  <c:v>IP '23</c:v>
                </c:pt>
              </c:strCache>
            </c:strRef>
          </c:cat>
          <c:val>
            <c:numRef>
              <c:f>T.XXV!$J$8:$J$24</c:f>
              <c:numCache>
                <c:formatCode>#,##0</c:formatCode>
                <c:ptCount val="17"/>
                <c:pt idx="0">
                  <c:v>199</c:v>
                </c:pt>
                <c:pt idx="1">
                  <c:v>909</c:v>
                </c:pt>
                <c:pt idx="2">
                  <c:v>4590</c:v>
                </c:pt>
                <c:pt idx="3">
                  <c:v>129</c:v>
                </c:pt>
                <c:pt idx="4">
                  <c:v>1509</c:v>
                </c:pt>
                <c:pt idx="5">
                  <c:v>549</c:v>
                </c:pt>
                <c:pt idx="6">
                  <c:v>590</c:v>
                </c:pt>
                <c:pt idx="7">
                  <c:v>378</c:v>
                </c:pt>
                <c:pt idx="8">
                  <c:v>419</c:v>
                </c:pt>
                <c:pt idx="9">
                  <c:v>92</c:v>
                </c:pt>
                <c:pt idx="10">
                  <c:v>348</c:v>
                </c:pt>
                <c:pt idx="11">
                  <c:v>358</c:v>
                </c:pt>
                <c:pt idx="12">
                  <c:v>333</c:v>
                </c:pt>
                <c:pt idx="13">
                  <c:v>1230</c:v>
                </c:pt>
                <c:pt idx="14">
                  <c:v>238</c:v>
                </c:pt>
                <c:pt idx="15" formatCode="General">
                  <c:v>204</c:v>
                </c:pt>
                <c:pt idx="16" formatCode="General">
                  <c:v>353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7A2-4E54-BA79-78FBB62C2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934656"/>
        <c:axId val="216940544"/>
      </c:lineChart>
      <c:catAx>
        <c:axId val="216934656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6">
                  <a:lumMod val="60000"/>
                  <a:lumOff val="4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/>
          <a:lstStyle/>
          <a:p>
            <a:pPr>
              <a:defRPr sz="800" b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216940544"/>
        <c:crosses val="autoZero"/>
        <c:auto val="1"/>
        <c:lblAlgn val="ctr"/>
        <c:lblOffset val="100"/>
        <c:noMultiLvlLbl val="0"/>
      </c:catAx>
      <c:valAx>
        <c:axId val="216940544"/>
        <c:scaling>
          <c:orientation val="minMax"/>
          <c:max val="10000"/>
          <c:min val="0"/>
        </c:scaling>
        <c:delete val="0"/>
        <c:axPos val="l"/>
        <c:majorGridlines>
          <c:spPr>
            <a:ln>
              <a:solidFill>
                <a:schemeClr val="accent2">
                  <a:lumMod val="60000"/>
                  <a:lumOff val="40000"/>
                  <a:alpha val="32000"/>
                </a:schemeClr>
              </a:solidFill>
            </a:ln>
          </c:spPr>
        </c:majorGridlines>
        <c:minorGridlines>
          <c:spPr>
            <a:ln w="6350">
              <a:solidFill>
                <a:schemeClr val="accent6">
                  <a:lumMod val="50000"/>
                  <a:alpha val="82000"/>
                </a:scheme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800">
                <a:latin typeface="Times New Roman" panose="02020603050405020304" pitchFamily="18" charset="0"/>
                <a:ea typeface="Verdana" panose="020B0604030504040204" pitchFamily="34" charset="0"/>
                <a:cs typeface="Times New Roman" panose="02020603050405020304" pitchFamily="18" charset="0"/>
              </a:defRPr>
            </a:pPr>
            <a:endParaRPr lang="pl-PL"/>
          </a:p>
        </c:txPr>
        <c:crossAx val="216934656"/>
        <c:crosses val="autoZero"/>
        <c:crossBetween val="midCat"/>
        <c:majorUnit val="500"/>
        <c:minorUnit val="100"/>
      </c:valAx>
      <c:spPr>
        <a:noFill/>
      </c:spPr>
    </c:plotArea>
    <c:legend>
      <c:legendPos val="t"/>
      <c:layout>
        <c:manualLayout>
          <c:xMode val="edge"/>
          <c:yMode val="edge"/>
          <c:x val="0.28026406253413433"/>
          <c:y val="0.2287686315221733"/>
          <c:w val="0.54390956982473326"/>
          <c:h val="9.1990504863362674E-2"/>
        </c:manualLayout>
      </c:layout>
      <c:overlay val="0"/>
      <c:txPr>
        <a:bodyPr/>
        <a:lstStyle/>
        <a:p>
          <a:pPr>
            <a:defRPr sz="1100">
              <a:latin typeface="+mj-lt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84668</xdr:colOff>
      <xdr:row>2</xdr:row>
      <xdr:rowOff>148168</xdr:rowOff>
    </xdr:from>
    <xdr:to>
      <xdr:col>23</xdr:col>
      <xdr:colOff>571501</xdr:colOff>
      <xdr:row>29</xdr:row>
      <xdr:rowOff>119063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358511</xdr:colOff>
      <xdr:row>3</xdr:row>
      <xdr:rowOff>44979</xdr:rowOff>
    </xdr:from>
    <xdr:to>
      <xdr:col>29</xdr:col>
      <xdr:colOff>231510</xdr:colOff>
      <xdr:row>29</xdr:row>
      <xdr:rowOff>95249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687915</xdr:colOff>
      <xdr:row>2</xdr:row>
      <xdr:rowOff>59532</xdr:rowOff>
    </xdr:from>
    <xdr:to>
      <xdr:col>22</xdr:col>
      <xdr:colOff>202140</xdr:colOff>
      <xdr:row>35</xdr:row>
      <xdr:rowOff>178594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527048</xdr:colOff>
      <xdr:row>4</xdr:row>
      <xdr:rowOff>190500</xdr:rowOff>
    </xdr:from>
    <xdr:to>
      <xdr:col>24</xdr:col>
      <xdr:colOff>433915</xdr:colOff>
      <xdr:row>17</xdr:row>
      <xdr:rowOff>15873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105832</xdr:colOff>
      <xdr:row>0</xdr:row>
      <xdr:rowOff>84665</xdr:rowOff>
    </xdr:from>
    <xdr:to>
      <xdr:col>26</xdr:col>
      <xdr:colOff>35718</xdr:colOff>
      <xdr:row>10</xdr:row>
      <xdr:rowOff>105832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645582</xdr:colOff>
      <xdr:row>10</xdr:row>
      <xdr:rowOff>84670</xdr:rowOff>
    </xdr:from>
    <xdr:to>
      <xdr:col>25</xdr:col>
      <xdr:colOff>571500</xdr:colOff>
      <xdr:row>25</xdr:row>
      <xdr:rowOff>74085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582082</xdr:colOff>
      <xdr:row>38</xdr:row>
      <xdr:rowOff>148166</xdr:rowOff>
    </xdr:from>
    <xdr:to>
      <xdr:col>25</xdr:col>
      <xdr:colOff>571500</xdr:colOff>
      <xdr:row>51</xdr:row>
      <xdr:rowOff>179916</xdr:rowOff>
    </xdr:to>
    <xdr:graphicFrame macro="">
      <xdr:nvGraphicFramePr>
        <xdr:cNvPr id="8" name="Wykres 1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539750</xdr:colOff>
      <xdr:row>25</xdr:row>
      <xdr:rowOff>84668</xdr:rowOff>
    </xdr:from>
    <xdr:to>
      <xdr:col>25</xdr:col>
      <xdr:colOff>529168</xdr:colOff>
      <xdr:row>38</xdr:row>
      <xdr:rowOff>148166</xdr:rowOff>
    </xdr:to>
    <xdr:graphicFrame macro="">
      <xdr:nvGraphicFramePr>
        <xdr:cNvPr id="5" name="Wykres 1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560916</xdr:colOff>
      <xdr:row>1</xdr:row>
      <xdr:rowOff>42335</xdr:rowOff>
    </xdr:from>
    <xdr:to>
      <xdr:col>25</xdr:col>
      <xdr:colOff>52916</xdr:colOff>
      <xdr:row>11</xdr:row>
      <xdr:rowOff>158750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539749</xdr:colOff>
      <xdr:row>12</xdr:row>
      <xdr:rowOff>52917</xdr:rowOff>
    </xdr:from>
    <xdr:to>
      <xdr:col>25</xdr:col>
      <xdr:colOff>31749</xdr:colOff>
      <xdr:row>25</xdr:row>
      <xdr:rowOff>63499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228601</xdr:colOff>
      <xdr:row>3</xdr:row>
      <xdr:rowOff>47626</xdr:rowOff>
    </xdr:from>
    <xdr:to>
      <xdr:col>26</xdr:col>
      <xdr:colOff>28575</xdr:colOff>
      <xdr:row>17</xdr:row>
      <xdr:rowOff>85725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A0A91348-8CEC-415A-91D2-E2D1B542B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276224</xdr:colOff>
      <xdr:row>17</xdr:row>
      <xdr:rowOff>114300</xdr:rowOff>
    </xdr:from>
    <xdr:to>
      <xdr:col>26</xdr:col>
      <xdr:colOff>57149</xdr:colOff>
      <xdr:row>32</xdr:row>
      <xdr:rowOff>104775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604FAF47-9389-4941-9FC6-ADC3C04430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  <pageSetUpPr fitToPage="1"/>
  </sheetPr>
  <dimension ref="B1:N11"/>
  <sheetViews>
    <sheetView tabSelected="1" zoomScale="120" zoomScaleNormal="120" workbookViewId="0">
      <selection activeCell="B1" sqref="B1"/>
    </sheetView>
  </sheetViews>
  <sheetFormatPr defaultColWidth="9.140625" defaultRowHeight="15" x14ac:dyDescent="0.25"/>
  <cols>
    <col min="1" max="1" width="2.28515625" style="11" customWidth="1"/>
    <col min="2" max="2" width="30.28515625" style="11" customWidth="1"/>
    <col min="3" max="3" width="10.42578125" style="11" customWidth="1"/>
    <col min="4" max="4" width="9.7109375" style="11" customWidth="1"/>
    <col min="5" max="5" width="8.5703125" style="11" customWidth="1"/>
    <col min="6" max="6" width="10.140625" style="11" customWidth="1"/>
    <col min="7" max="7" width="9.28515625" style="11" customWidth="1"/>
    <col min="8" max="8" width="8.140625" style="11" customWidth="1"/>
    <col min="9" max="9" width="12.7109375" style="11" customWidth="1"/>
    <col min="10" max="10" width="11.7109375" style="11" customWidth="1"/>
    <col min="11" max="11" width="4.140625" style="11" customWidth="1"/>
    <col min="12" max="12" width="5.28515625" style="11" customWidth="1"/>
    <col min="13" max="16384" width="9.140625" style="11"/>
  </cols>
  <sheetData>
    <row r="1" spans="2:14" ht="9.75" customHeight="1" x14ac:dyDescent="0.25"/>
    <row r="2" spans="2:14" x14ac:dyDescent="0.25">
      <c r="B2" s="11" t="s">
        <v>258</v>
      </c>
    </row>
    <row r="3" spans="2:14" x14ac:dyDescent="0.25">
      <c r="B3" s="11" t="s">
        <v>259</v>
      </c>
    </row>
    <row r="4" spans="2:14" ht="9" customHeight="1" thickBot="1" x14ac:dyDescent="0.3"/>
    <row r="5" spans="2:14" ht="30" customHeight="1" x14ac:dyDescent="0.25">
      <c r="B5" s="881" t="s">
        <v>103</v>
      </c>
      <c r="C5" s="884" t="s">
        <v>485</v>
      </c>
      <c r="D5" s="884"/>
      <c r="E5" s="885"/>
      <c r="F5" s="884" t="s">
        <v>486</v>
      </c>
      <c r="G5" s="884"/>
      <c r="H5" s="885"/>
      <c r="I5" s="886" t="s">
        <v>262</v>
      </c>
      <c r="J5" s="889" t="s">
        <v>298</v>
      </c>
    </row>
    <row r="6" spans="2:14" ht="26.25" customHeight="1" x14ac:dyDescent="0.25">
      <c r="B6" s="882"/>
      <c r="C6" s="892" t="s">
        <v>306</v>
      </c>
      <c r="D6" s="894" t="s">
        <v>94</v>
      </c>
      <c r="E6" s="895"/>
      <c r="F6" s="892" t="s">
        <v>306</v>
      </c>
      <c r="G6" s="894" t="s">
        <v>94</v>
      </c>
      <c r="H6" s="895"/>
      <c r="I6" s="887"/>
      <c r="J6" s="890"/>
    </row>
    <row r="7" spans="2:14" ht="34.5" customHeight="1" thickBot="1" x14ac:dyDescent="0.3">
      <c r="B7" s="883"/>
      <c r="C7" s="893"/>
      <c r="D7" s="540" t="s">
        <v>107</v>
      </c>
      <c r="E7" s="541" t="s">
        <v>414</v>
      </c>
      <c r="F7" s="893"/>
      <c r="G7" s="540" t="s">
        <v>107</v>
      </c>
      <c r="H7" s="541" t="s">
        <v>414</v>
      </c>
      <c r="I7" s="888"/>
      <c r="J7" s="891"/>
    </row>
    <row r="8" spans="2:14" ht="34.5" customHeight="1" x14ac:dyDescent="0.25">
      <c r="B8" s="119" t="s">
        <v>4</v>
      </c>
      <c r="C8" s="260">
        <v>69046</v>
      </c>
      <c r="D8" s="47">
        <v>36088</v>
      </c>
      <c r="E8" s="98">
        <f>D8*100/C8</f>
        <v>52.266604872114243</v>
      </c>
      <c r="F8" s="260">
        <v>65064</v>
      </c>
      <c r="G8" s="47">
        <v>34104</v>
      </c>
      <c r="H8" s="98">
        <f>G8*100/F8</f>
        <v>52.416082626337143</v>
      </c>
      <c r="I8" s="56">
        <f>SUM(F8-C8)</f>
        <v>-3982</v>
      </c>
      <c r="J8" s="282">
        <f>SUM(I8/C8*100)</f>
        <v>-5.7671697129449928</v>
      </c>
      <c r="L8" s="299">
        <f>SUM(G8/F8)*100</f>
        <v>52.416082626337143</v>
      </c>
      <c r="M8" s="137">
        <v>201525</v>
      </c>
      <c r="N8" s="299">
        <f>SUM(F8)/M8*100</f>
        <v>32.285820617789355</v>
      </c>
    </row>
    <row r="9" spans="2:14" ht="27" customHeight="1" x14ac:dyDescent="0.25">
      <c r="B9" s="12" t="s">
        <v>0</v>
      </c>
      <c r="C9" s="51">
        <v>59383</v>
      </c>
      <c r="D9" s="9">
        <v>30338</v>
      </c>
      <c r="E9" s="7">
        <f>D9*100/C9</f>
        <v>51.088695417880537</v>
      </c>
      <c r="F9" s="51">
        <v>56319</v>
      </c>
      <c r="G9" s="9">
        <v>28875</v>
      </c>
      <c r="H9" s="7">
        <f>G9*100/F9</f>
        <v>51.270441591647582</v>
      </c>
      <c r="I9" s="51">
        <f>SUM(F9-C9)</f>
        <v>-3064</v>
      </c>
      <c r="J9" s="281">
        <f>SUM(I9/C9*100)</f>
        <v>-5.1597258474647623</v>
      </c>
      <c r="L9" s="299">
        <f>SUM(D8/C8)*100</f>
        <v>52.266604872114243</v>
      </c>
    </row>
    <row r="10" spans="2:14" ht="43.5" customHeight="1" x14ac:dyDescent="0.25">
      <c r="B10" s="12" t="s">
        <v>104</v>
      </c>
      <c r="C10" s="51">
        <v>2675</v>
      </c>
      <c r="D10" s="9">
        <v>1473</v>
      </c>
      <c r="E10" s="7">
        <f>D10*100/C10</f>
        <v>55.065420560747661</v>
      </c>
      <c r="F10" s="51">
        <v>2719</v>
      </c>
      <c r="G10" s="9">
        <v>1430</v>
      </c>
      <c r="H10" s="7">
        <f>G10*100/F10</f>
        <v>52.592865023905851</v>
      </c>
      <c r="I10" s="51">
        <f>SUM(F10-C10)</f>
        <v>44</v>
      </c>
      <c r="J10" s="281">
        <f>SUM(I10/C10*100)</f>
        <v>1.6448598130841121</v>
      </c>
    </row>
    <row r="11" spans="2:14" ht="27.75" customHeight="1" thickBot="1" x14ac:dyDescent="0.3">
      <c r="B11" s="87" t="s">
        <v>2</v>
      </c>
      <c r="C11" s="3">
        <v>9663</v>
      </c>
      <c r="D11" s="5">
        <v>5750</v>
      </c>
      <c r="E11" s="8">
        <f>D11*100/C11</f>
        <v>59.505329607782265</v>
      </c>
      <c r="F11" s="3">
        <v>8745</v>
      </c>
      <c r="G11" s="5">
        <v>5229</v>
      </c>
      <c r="H11" s="8">
        <f>G11*100/F11</f>
        <v>59.794168096054889</v>
      </c>
      <c r="I11" s="3">
        <f>SUM(F11-C11)</f>
        <v>-918</v>
      </c>
      <c r="J11" s="283">
        <f>SUM(I11/C11*100)</f>
        <v>-9.5001552312946291</v>
      </c>
    </row>
  </sheetData>
  <mergeCells count="9">
    <mergeCell ref="B5:B7"/>
    <mergeCell ref="F5:H5"/>
    <mergeCell ref="C5:E5"/>
    <mergeCell ref="I5:I7"/>
    <mergeCell ref="J5:J7"/>
    <mergeCell ref="F6:F7"/>
    <mergeCell ref="G6:H6"/>
    <mergeCell ref="C6:C7"/>
    <mergeCell ref="D6:E6"/>
  </mergeCells>
  <pageMargins left="1.299212598425197" right="0.70866141732283472" top="1.1417322834645669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B1:O41"/>
  <sheetViews>
    <sheetView zoomScale="80" zoomScaleNormal="80" workbookViewId="0">
      <selection activeCell="B1" sqref="B1"/>
    </sheetView>
  </sheetViews>
  <sheetFormatPr defaultColWidth="9.140625" defaultRowHeight="15" x14ac:dyDescent="0.25"/>
  <cols>
    <col min="1" max="1" width="2.28515625" style="11" customWidth="1"/>
    <col min="2" max="2" width="23.85546875" style="11" customWidth="1"/>
    <col min="3" max="3" width="14.85546875" style="11" customWidth="1"/>
    <col min="4" max="4" width="11.42578125" style="11" customWidth="1"/>
    <col min="5" max="5" width="13.85546875" style="11" customWidth="1"/>
    <col min="6" max="6" width="11.5703125" style="11" customWidth="1"/>
    <col min="7" max="7" width="3.140625" style="11" customWidth="1"/>
    <col min="8" max="8" width="5.140625" style="11" customWidth="1"/>
    <col min="9" max="9" width="6.42578125" style="11" customWidth="1"/>
    <col min="10" max="10" width="10.7109375" style="11" customWidth="1"/>
    <col min="11" max="11" width="11.85546875" style="11" customWidth="1"/>
    <col min="12" max="12" width="11.7109375" style="11" customWidth="1"/>
    <col min="13" max="13" width="6.7109375" style="11" customWidth="1"/>
    <col min="14" max="16384" width="9.140625" style="11"/>
  </cols>
  <sheetData>
    <row r="1" spans="2:15" x14ac:dyDescent="0.25">
      <c r="B1" s="11" t="s">
        <v>247</v>
      </c>
    </row>
    <row r="2" spans="2:15" ht="15.75" thickBot="1" x14ac:dyDescent="0.3">
      <c r="B2" s="11" t="s">
        <v>251</v>
      </c>
    </row>
    <row r="3" spans="2:15" ht="20.25" customHeight="1" thickBot="1" x14ac:dyDescent="0.3">
      <c r="B3" s="706"/>
      <c r="C3" s="951" t="s">
        <v>413</v>
      </c>
      <c r="D3" s="898"/>
      <c r="E3" s="951" t="s">
        <v>491</v>
      </c>
      <c r="F3" s="898"/>
    </row>
    <row r="4" spans="2:15" ht="30.75" customHeight="1" thickBot="1" x14ac:dyDescent="0.3">
      <c r="B4" s="707" t="s">
        <v>3</v>
      </c>
      <c r="C4" s="545" t="s">
        <v>59</v>
      </c>
      <c r="D4" s="546" t="s">
        <v>414</v>
      </c>
      <c r="E4" s="545" t="s">
        <v>59</v>
      </c>
      <c r="F4" s="546" t="s">
        <v>414</v>
      </c>
    </row>
    <row r="5" spans="2:15" ht="18" customHeight="1" thickBot="1" x14ac:dyDescent="0.3">
      <c r="B5" s="120" t="s">
        <v>50</v>
      </c>
      <c r="C5" s="123">
        <f>SUM(C7:C12)</f>
        <v>69016</v>
      </c>
      <c r="D5" s="122">
        <f>SUM(D7:D12)</f>
        <v>100</v>
      </c>
      <c r="E5" s="123">
        <f>SUM(E7:E12)</f>
        <v>65064</v>
      </c>
      <c r="F5" s="122">
        <f>SUM(F7:F12)</f>
        <v>100</v>
      </c>
    </row>
    <row r="6" spans="2:15" ht="18" customHeight="1" thickBot="1" x14ac:dyDescent="0.3">
      <c r="B6" s="474" t="s">
        <v>60</v>
      </c>
      <c r="C6" s="278"/>
      <c r="D6" s="278"/>
      <c r="E6" s="278"/>
      <c r="F6" s="279"/>
      <c r="J6" s="137"/>
      <c r="K6" s="784">
        <v>45107</v>
      </c>
      <c r="L6" s="784">
        <v>37072</v>
      </c>
      <c r="M6" s="137"/>
      <c r="N6" s="137"/>
      <c r="O6" s="137"/>
    </row>
    <row r="7" spans="2:15" ht="21" customHeight="1" thickTop="1" x14ac:dyDescent="0.25">
      <c r="B7" s="124" t="s">
        <v>51</v>
      </c>
      <c r="C7" s="125">
        <v>7826</v>
      </c>
      <c r="D7" s="126">
        <f>SUM(C7/C5*100)</f>
        <v>11.33939955952243</v>
      </c>
      <c r="E7" s="127">
        <v>8064</v>
      </c>
      <c r="F7" s="708">
        <f>SUM(E7/E5*100)</f>
        <v>12.393950571744744</v>
      </c>
      <c r="H7" s="373">
        <f>SUM(F7:F8)</f>
        <v>39.04309602852576</v>
      </c>
      <c r="J7" s="373" t="s">
        <v>384</v>
      </c>
      <c r="K7" s="373">
        <f>SUM(F7:F9)</f>
        <v>64.682466494528455</v>
      </c>
      <c r="L7" s="299">
        <v>86.4</v>
      </c>
      <c r="M7" s="373">
        <f>SUM(K7-L7)</f>
        <v>-21.71753350547155</v>
      </c>
      <c r="N7" s="137"/>
    </row>
    <row r="8" spans="2:15" ht="18" customHeight="1" x14ac:dyDescent="0.25">
      <c r="B8" s="12" t="s">
        <v>52</v>
      </c>
      <c r="C8" s="13">
        <v>19047</v>
      </c>
      <c r="D8" s="26">
        <f>SUM(C8/C5*100)</f>
        <v>27.597948301843051</v>
      </c>
      <c r="E8" s="88">
        <v>17339</v>
      </c>
      <c r="F8" s="565">
        <f>SUM(E8/E5*100)</f>
        <v>26.649145456781014</v>
      </c>
      <c r="H8" s="373">
        <f>SUM(D7:D8)</f>
        <v>38.937347861365481</v>
      </c>
      <c r="J8" s="137" t="s">
        <v>385</v>
      </c>
      <c r="K8" s="373">
        <f>SUM(F10:F12)</f>
        <v>35.317533505471538</v>
      </c>
      <c r="L8" s="299">
        <v>13.6</v>
      </c>
      <c r="M8" s="373">
        <f>SUM(K8-L8)</f>
        <v>21.717533505471536</v>
      </c>
      <c r="N8" s="137"/>
    </row>
    <row r="9" spans="2:15" ht="15.75" customHeight="1" x14ac:dyDescent="0.25">
      <c r="B9" s="12" t="s">
        <v>53</v>
      </c>
      <c r="C9" s="13">
        <v>17866</v>
      </c>
      <c r="D9" s="26">
        <f>SUM(C9/C5*100)</f>
        <v>25.886750898342413</v>
      </c>
      <c r="E9" s="88">
        <v>16682</v>
      </c>
      <c r="F9" s="565">
        <f>SUM(E9/E5*100)</f>
        <v>25.639370466002703</v>
      </c>
      <c r="J9" s="137"/>
      <c r="K9" s="137"/>
      <c r="L9" s="299">
        <f>SUM(L7:L8)</f>
        <v>100</v>
      </c>
      <c r="M9" s="137"/>
      <c r="N9" s="137"/>
      <c r="O9" s="144"/>
    </row>
    <row r="10" spans="2:15" x14ac:dyDescent="0.25">
      <c r="B10" s="12" t="s">
        <v>54</v>
      </c>
      <c r="C10" s="13">
        <v>13257</v>
      </c>
      <c r="D10" s="26">
        <f>SUM(C10/C5*100)</f>
        <v>19.208589312623157</v>
      </c>
      <c r="E10" s="88">
        <v>12770</v>
      </c>
      <c r="F10" s="26">
        <f>SUM(E10/E5*100)</f>
        <v>19.626828968400346</v>
      </c>
      <c r="H10" s="137"/>
      <c r="I10" s="137"/>
      <c r="J10" s="137"/>
    </row>
    <row r="11" spans="2:15" x14ac:dyDescent="0.25">
      <c r="B11" s="12" t="s">
        <v>55</v>
      </c>
      <c r="C11" s="13">
        <v>6911</v>
      </c>
      <c r="D11" s="26">
        <f>SUM(C11/C5*100)</f>
        <v>10.01362003013794</v>
      </c>
      <c r="E11" s="88">
        <v>6404</v>
      </c>
      <c r="F11" s="26">
        <f>SUM(E11/E5*100)</f>
        <v>9.8426165006762574</v>
      </c>
    </row>
    <row r="12" spans="2:15" ht="15.75" thickBot="1" x14ac:dyDescent="0.3">
      <c r="B12" s="87" t="s">
        <v>61</v>
      </c>
      <c r="C12" s="19">
        <v>4109</v>
      </c>
      <c r="D12" s="27">
        <f>SUM(C12/C5*100)</f>
        <v>5.9536918975310069</v>
      </c>
      <c r="E12" s="89">
        <v>3805</v>
      </c>
      <c r="F12" s="27">
        <f>SUM(E12/E5*100)</f>
        <v>5.8480880363949339</v>
      </c>
    </row>
    <row r="13" spans="2:15" ht="12" customHeight="1" x14ac:dyDescent="0.25"/>
    <row r="14" spans="2:15" x14ac:dyDescent="0.25">
      <c r="B14" s="11" t="s">
        <v>248</v>
      </c>
    </row>
    <row r="15" spans="2:15" ht="15.75" thickBot="1" x14ac:dyDescent="0.3">
      <c r="B15" s="11" t="s">
        <v>150</v>
      </c>
    </row>
    <row r="16" spans="2:15" ht="22.5" customHeight="1" thickBot="1" x14ac:dyDescent="0.3">
      <c r="B16" s="706"/>
      <c r="C16" s="951" t="s">
        <v>413</v>
      </c>
      <c r="D16" s="898"/>
      <c r="E16" s="951" t="s">
        <v>491</v>
      </c>
      <c r="F16" s="898"/>
    </row>
    <row r="17" spans="2:9" ht="34.5" customHeight="1" thickBot="1" x14ac:dyDescent="0.3">
      <c r="B17" s="707" t="s">
        <v>3</v>
      </c>
      <c r="C17" s="545" t="s">
        <v>59</v>
      </c>
      <c r="D17" s="546" t="s">
        <v>414</v>
      </c>
      <c r="E17" s="545" t="s">
        <v>59</v>
      </c>
      <c r="F17" s="546" t="s">
        <v>414</v>
      </c>
    </row>
    <row r="18" spans="2:9" ht="19.5" customHeight="1" thickBot="1" x14ac:dyDescent="0.3">
      <c r="B18" s="120" t="s">
        <v>50</v>
      </c>
      <c r="C18" s="123">
        <f>SUM(C20:C24)</f>
        <v>69016</v>
      </c>
      <c r="D18" s="122">
        <f>SUM(D20:D24)</f>
        <v>100</v>
      </c>
      <c r="E18" s="123">
        <f>SUM(E20:E24)</f>
        <v>65064</v>
      </c>
      <c r="F18" s="122">
        <f>SUM(F20:F24)</f>
        <v>100</v>
      </c>
    </row>
    <row r="19" spans="2:9" ht="18.75" customHeight="1" thickBot="1" x14ac:dyDescent="0.3">
      <c r="B19" s="952" t="s">
        <v>62</v>
      </c>
      <c r="C19" s="953"/>
      <c r="D19" s="953"/>
      <c r="E19" s="953"/>
      <c r="F19" s="954"/>
    </row>
    <row r="20" spans="2:9" ht="21.75" customHeight="1" thickTop="1" x14ac:dyDescent="0.25">
      <c r="B20" s="124" t="s">
        <v>63</v>
      </c>
      <c r="C20" s="127">
        <v>10910</v>
      </c>
      <c r="D20" s="126">
        <f>SUM(C20/C18*100)</f>
        <v>15.807928596267532</v>
      </c>
      <c r="E20" s="127">
        <v>10165</v>
      </c>
      <c r="F20" s="126">
        <f>SUM(E20/E18*100)</f>
        <v>15.62307881470552</v>
      </c>
      <c r="H20" s="373">
        <f>SUM(D20)-F20</f>
        <v>0.18484978156201137</v>
      </c>
    </row>
    <row r="21" spans="2:9" ht="30" x14ac:dyDescent="0.25">
      <c r="B21" s="12" t="s">
        <v>64</v>
      </c>
      <c r="C21" s="88">
        <v>18286</v>
      </c>
      <c r="D21" s="26">
        <f>SUM(C21/C18*100)</f>
        <v>26.495305436420541</v>
      </c>
      <c r="E21" s="88">
        <v>17528</v>
      </c>
      <c r="F21" s="565">
        <f>SUM(E21/E18*100)</f>
        <v>26.939628673306281</v>
      </c>
      <c r="H21" s="373">
        <f>SUM(F21,F23)</f>
        <v>53.905385466617481</v>
      </c>
    </row>
    <row r="22" spans="2:9" ht="28.5" customHeight="1" x14ac:dyDescent="0.25">
      <c r="B22" s="12" t="s">
        <v>65</v>
      </c>
      <c r="C22" s="88">
        <v>8182</v>
      </c>
      <c r="D22" s="26">
        <f>SUM(C22/C18*100)</f>
        <v>11.855221977512461</v>
      </c>
      <c r="E22" s="88">
        <v>7763</v>
      </c>
      <c r="F22" s="26">
        <f>SUM(E22/E18*100)</f>
        <v>11.931329152834133</v>
      </c>
    </row>
    <row r="23" spans="2:9" ht="21.75" customHeight="1" x14ac:dyDescent="0.25">
      <c r="B23" s="12" t="s">
        <v>66</v>
      </c>
      <c r="C23" s="88">
        <v>18293</v>
      </c>
      <c r="D23" s="26">
        <f>SUM(C23/C18*100)</f>
        <v>26.505448012055176</v>
      </c>
      <c r="E23" s="88">
        <v>17545</v>
      </c>
      <c r="F23" s="565">
        <f>SUM(E23/E18*100)</f>
        <v>26.965756793311201</v>
      </c>
      <c r="I23" s="297"/>
    </row>
    <row r="24" spans="2:9" ht="22.5" customHeight="1" thickBot="1" x14ac:dyDescent="0.3">
      <c r="B24" s="87" t="s">
        <v>67</v>
      </c>
      <c r="C24" s="89">
        <v>13345</v>
      </c>
      <c r="D24" s="27">
        <f>SUM(C24/C18*100)</f>
        <v>19.336095977744293</v>
      </c>
      <c r="E24" s="89">
        <v>12063</v>
      </c>
      <c r="F24" s="27">
        <f>SUM(E24/E18*100)</f>
        <v>18.540206565842862</v>
      </c>
      <c r="G24" s="297"/>
    </row>
    <row r="25" spans="2:9" ht="12" customHeight="1" x14ac:dyDescent="0.25"/>
    <row r="26" spans="2:9" x14ac:dyDescent="0.25">
      <c r="B26" s="11" t="s">
        <v>249</v>
      </c>
    </row>
    <row r="27" spans="2:9" ht="15.75" thickBot="1" x14ac:dyDescent="0.3">
      <c r="B27" s="11" t="s">
        <v>251</v>
      </c>
    </row>
    <row r="28" spans="2:9" ht="22.5" customHeight="1" thickBot="1" x14ac:dyDescent="0.3">
      <c r="B28" s="706"/>
      <c r="C28" s="951" t="s">
        <v>413</v>
      </c>
      <c r="D28" s="898"/>
      <c r="E28" s="951" t="s">
        <v>491</v>
      </c>
      <c r="F28" s="898"/>
    </row>
    <row r="29" spans="2:9" ht="28.5" customHeight="1" thickBot="1" x14ac:dyDescent="0.3">
      <c r="B29" s="707" t="s">
        <v>3</v>
      </c>
      <c r="C29" s="545" t="s">
        <v>59</v>
      </c>
      <c r="D29" s="546" t="s">
        <v>414</v>
      </c>
      <c r="E29" s="545" t="s">
        <v>59</v>
      </c>
      <c r="F29" s="546" t="s">
        <v>414</v>
      </c>
    </row>
    <row r="30" spans="2:9" ht="21" customHeight="1" thickBot="1" x14ac:dyDescent="0.3">
      <c r="B30" s="120" t="s">
        <v>50</v>
      </c>
      <c r="C30" s="123">
        <f>SUM(C32:C38)</f>
        <v>69016</v>
      </c>
      <c r="D30" s="122">
        <f>SUM(D32:D38)</f>
        <v>100</v>
      </c>
      <c r="E30" s="123">
        <f>SUM(E32:E38)</f>
        <v>65064</v>
      </c>
      <c r="F30" s="122">
        <f>SUM(F32:F38)</f>
        <v>100</v>
      </c>
    </row>
    <row r="31" spans="2:9" ht="20.25" customHeight="1" thickBot="1" x14ac:dyDescent="0.3">
      <c r="B31" s="475" t="s">
        <v>151</v>
      </c>
      <c r="C31" s="128"/>
      <c r="D31" s="128"/>
      <c r="E31" s="128"/>
      <c r="F31" s="129"/>
    </row>
    <row r="32" spans="2:9" ht="15.75" customHeight="1" thickTop="1" x14ac:dyDescent="0.25">
      <c r="B32" s="124" t="s">
        <v>56</v>
      </c>
      <c r="C32" s="127">
        <v>14109</v>
      </c>
      <c r="D32" s="126">
        <f>SUM(C32/C30*100)</f>
        <v>20.443085661295932</v>
      </c>
      <c r="E32" s="127">
        <v>13552</v>
      </c>
      <c r="F32" s="126">
        <f>SUM(E32/E30*100)</f>
        <v>20.828722488626582</v>
      </c>
    </row>
    <row r="33" spans="2:10" x14ac:dyDescent="0.25">
      <c r="B33" s="12" t="s">
        <v>68</v>
      </c>
      <c r="C33" s="88">
        <v>17881</v>
      </c>
      <c r="D33" s="26">
        <f>SUM(C33/C30*100)</f>
        <v>25.908484988988061</v>
      </c>
      <c r="E33" s="88">
        <v>17291</v>
      </c>
      <c r="F33" s="26">
        <f>SUM(E33/E30*100)</f>
        <v>26.575371941473016</v>
      </c>
      <c r="J33" s="373"/>
    </row>
    <row r="34" spans="2:10" x14ac:dyDescent="0.25">
      <c r="B34" s="12" t="s">
        <v>69</v>
      </c>
      <c r="C34" s="88">
        <v>11130</v>
      </c>
      <c r="D34" s="26">
        <f>SUM(C34/C30*100)</f>
        <v>16.126695259070363</v>
      </c>
      <c r="E34" s="88">
        <v>10588</v>
      </c>
      <c r="F34" s="26">
        <f>SUM(E34/E30*100)</f>
        <v>16.273207918357311</v>
      </c>
      <c r="H34" s="373">
        <f>SUM(F38)+F32+F33</f>
        <v>60.84470675027665</v>
      </c>
    </row>
    <row r="35" spans="2:10" x14ac:dyDescent="0.25">
      <c r="B35" s="12" t="s">
        <v>70</v>
      </c>
      <c r="C35" s="88">
        <v>9810</v>
      </c>
      <c r="D35" s="26">
        <f>SUM(C35/C30*100)</f>
        <v>14.214095282253393</v>
      </c>
      <c r="E35" s="88">
        <v>9068</v>
      </c>
      <c r="F35" s="26">
        <f>SUM(E35/E30*100)</f>
        <v>13.937046600270502</v>
      </c>
      <c r="H35" s="373">
        <f>SUM(D38)+D32+D33</f>
        <v>60.4903210849658</v>
      </c>
    </row>
    <row r="36" spans="2:10" x14ac:dyDescent="0.25">
      <c r="B36" s="130" t="s">
        <v>71</v>
      </c>
      <c r="C36" s="131">
        <v>4649</v>
      </c>
      <c r="D36" s="30">
        <f>SUM(C36/C30*100)</f>
        <v>6.7361191607743134</v>
      </c>
      <c r="E36" s="131">
        <v>4376</v>
      </c>
      <c r="F36" s="30">
        <f>SUM(E36/E30*100)</f>
        <v>6.7256854789130696</v>
      </c>
      <c r="H36" s="861">
        <f>SUM(D32:D33)</f>
        <v>46.351570650283989</v>
      </c>
    </row>
    <row r="37" spans="2:10" x14ac:dyDescent="0.25">
      <c r="B37" s="130" t="s">
        <v>58</v>
      </c>
      <c r="C37" s="131">
        <v>1679</v>
      </c>
      <c r="D37" s="30">
        <f>SUM(C37/C30*100)</f>
        <v>2.4327692129361309</v>
      </c>
      <c r="E37" s="131">
        <v>1444</v>
      </c>
      <c r="F37" s="30">
        <f>SUM(E37/E30*100)</f>
        <v>2.2193532521824664</v>
      </c>
      <c r="H37" s="861">
        <f>SUM(F32:F33)</f>
        <v>47.404094430099597</v>
      </c>
    </row>
    <row r="38" spans="2:10" ht="15.75" thickBot="1" x14ac:dyDescent="0.3">
      <c r="B38" s="87" t="s">
        <v>57</v>
      </c>
      <c r="C38" s="89">
        <v>9758</v>
      </c>
      <c r="D38" s="27">
        <f>SUM(C38/C30*100)</f>
        <v>14.138750434681812</v>
      </c>
      <c r="E38" s="89">
        <v>8745</v>
      </c>
      <c r="F38" s="27">
        <f>SUM(E38/E30*100)</f>
        <v>13.440612320177056</v>
      </c>
      <c r="H38" s="373">
        <f>SUM(F32:F33)</f>
        <v>47.404094430099597</v>
      </c>
    </row>
    <row r="39" spans="2:10" x14ac:dyDescent="0.25">
      <c r="H39" s="373">
        <f>SUM(D32:D33)</f>
        <v>46.351570650283989</v>
      </c>
    </row>
    <row r="41" spans="2:10" x14ac:dyDescent="0.25">
      <c r="C41" s="49"/>
      <c r="D41" s="297"/>
      <c r="F41" s="297"/>
    </row>
  </sheetData>
  <mergeCells count="7">
    <mergeCell ref="C3:D3"/>
    <mergeCell ref="E3:F3"/>
    <mergeCell ref="C16:D16"/>
    <mergeCell ref="E16:F16"/>
    <mergeCell ref="C28:D28"/>
    <mergeCell ref="E28:F28"/>
    <mergeCell ref="B19:F19"/>
  </mergeCells>
  <pageMargins left="1.4960629921259843" right="0" top="0.6692913385826772" bottom="0" header="0" footer="0"/>
  <pageSetup paperSize="9" scale="7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  <pageSetUpPr fitToPage="1"/>
  </sheetPr>
  <dimension ref="B2:Q30"/>
  <sheetViews>
    <sheetView zoomScale="90" zoomScaleNormal="90" workbookViewId="0">
      <selection activeCell="B1" sqref="B1"/>
    </sheetView>
  </sheetViews>
  <sheetFormatPr defaultColWidth="9.140625" defaultRowHeight="15" x14ac:dyDescent="0.25"/>
  <cols>
    <col min="1" max="1" width="3.7109375" style="11" customWidth="1"/>
    <col min="2" max="2" width="21.5703125" style="11" customWidth="1"/>
    <col min="3" max="4" width="9.140625" style="11" customWidth="1"/>
    <col min="5" max="6" width="9" style="11" customWidth="1"/>
    <col min="7" max="8" width="8.85546875" style="11" customWidth="1"/>
    <col min="9" max="9" width="13.140625" style="11" customWidth="1"/>
    <col min="10" max="10" width="13.7109375" style="11" customWidth="1"/>
    <col min="11" max="11" width="3" style="11" customWidth="1"/>
    <col min="12" max="12" width="10.85546875" style="11" customWidth="1"/>
    <col min="13" max="13" width="8.85546875" style="11" customWidth="1"/>
    <col min="14" max="14" width="5" style="136" customWidth="1"/>
    <col min="15" max="16384" width="9.140625" style="11"/>
  </cols>
  <sheetData>
    <row r="2" spans="2:17" x14ac:dyDescent="0.25">
      <c r="B2" s="11" t="s">
        <v>371</v>
      </c>
    </row>
    <row r="3" spans="2:17" x14ac:dyDescent="0.25">
      <c r="B3" s="11" t="s">
        <v>328</v>
      </c>
    </row>
    <row r="4" spans="2:17" ht="12.75" customHeight="1" thickBot="1" x14ac:dyDescent="0.3">
      <c r="J4" s="144"/>
    </row>
    <row r="5" spans="2:17" ht="24" customHeight="1" x14ac:dyDescent="0.25">
      <c r="B5" s="899" t="s">
        <v>147</v>
      </c>
      <c r="C5" s="955" t="s">
        <v>413</v>
      </c>
      <c r="D5" s="956"/>
      <c r="E5" s="955" t="s">
        <v>490</v>
      </c>
      <c r="F5" s="956"/>
      <c r="G5" s="955" t="s">
        <v>491</v>
      </c>
      <c r="H5" s="956"/>
      <c r="I5" s="709" t="s">
        <v>239</v>
      </c>
      <c r="J5" s="572"/>
    </row>
    <row r="6" spans="2:17" ht="37.5" customHeight="1" thickBot="1" x14ac:dyDescent="0.3">
      <c r="B6" s="900"/>
      <c r="C6" s="710" t="s">
        <v>4</v>
      </c>
      <c r="D6" s="711" t="s">
        <v>94</v>
      </c>
      <c r="E6" s="710" t="s">
        <v>4</v>
      </c>
      <c r="F6" s="711" t="s">
        <v>94</v>
      </c>
      <c r="G6" s="710" t="s">
        <v>4</v>
      </c>
      <c r="H6" s="711" t="s">
        <v>94</v>
      </c>
      <c r="I6" s="712" t="s">
        <v>153</v>
      </c>
      <c r="J6" s="713" t="s">
        <v>568</v>
      </c>
    </row>
    <row r="7" spans="2:17" ht="27.75" customHeight="1" thickBot="1" x14ac:dyDescent="0.3">
      <c r="B7" s="166" t="s">
        <v>14</v>
      </c>
      <c r="C7" s="44">
        <f t="shared" ref="C7:F7" si="0">SUM(C10:C30)</f>
        <v>42985</v>
      </c>
      <c r="D7" s="46">
        <f t="shared" si="0"/>
        <v>23469</v>
      </c>
      <c r="E7" s="44">
        <f>SUM(E10:E30)</f>
        <v>43778</v>
      </c>
      <c r="F7" s="46">
        <f t="shared" si="0"/>
        <v>23067</v>
      </c>
      <c r="G7" s="714">
        <f>SUM(G10:G30)</f>
        <v>40617</v>
      </c>
      <c r="H7" s="715">
        <f>SUM(H10:H30)</f>
        <v>21573</v>
      </c>
      <c r="I7" s="169">
        <f>SUM(G7-E7)</f>
        <v>-3161</v>
      </c>
      <c r="J7" s="168">
        <f>I7/E7*100</f>
        <v>-7.2205217232399841</v>
      </c>
      <c r="L7" s="299">
        <f>SUM(G7/T.I!F8*100)</f>
        <v>62.426226484691995</v>
      </c>
      <c r="M7" s="303"/>
    </row>
    <row r="8" spans="2:17" ht="36.75" thickBot="1" x14ac:dyDescent="0.3">
      <c r="B8" s="314" t="s">
        <v>152</v>
      </c>
      <c r="C8" s="315">
        <v>6587</v>
      </c>
      <c r="D8" s="316">
        <v>3719</v>
      </c>
      <c r="E8" s="315">
        <v>6481</v>
      </c>
      <c r="F8" s="316">
        <v>3587</v>
      </c>
      <c r="G8" s="717">
        <v>6159</v>
      </c>
      <c r="H8" s="716">
        <v>3443</v>
      </c>
      <c r="I8" s="317">
        <f>SUM(G8-E8)</f>
        <v>-322</v>
      </c>
      <c r="J8" s="318">
        <f>I8/E8*100</f>
        <v>-4.968369078845857</v>
      </c>
      <c r="L8" s="540" t="s">
        <v>337</v>
      </c>
      <c r="M8" s="540" t="s">
        <v>338</v>
      </c>
      <c r="O8" s="540" t="s">
        <v>337</v>
      </c>
      <c r="P8" s="540" t="s">
        <v>338</v>
      </c>
      <c r="Q8" s="136"/>
    </row>
    <row r="9" spans="2:17" ht="27.75" customHeight="1" thickBot="1" x14ac:dyDescent="0.3">
      <c r="B9" s="173" t="s">
        <v>154</v>
      </c>
      <c r="C9" s="287"/>
      <c r="D9" s="175"/>
      <c r="E9" s="287"/>
      <c r="F9" s="175"/>
      <c r="G9" s="174"/>
      <c r="H9" s="174"/>
      <c r="I9" s="175"/>
      <c r="J9" s="354"/>
      <c r="L9" s="374" t="s">
        <v>93</v>
      </c>
      <c r="M9" s="374" t="s">
        <v>93</v>
      </c>
      <c r="O9" s="374" t="s">
        <v>93</v>
      </c>
      <c r="P9" s="374" t="s">
        <v>93</v>
      </c>
      <c r="Q9" s="136"/>
    </row>
    <row r="10" spans="2:17" ht="15" customHeight="1" x14ac:dyDescent="0.25">
      <c r="B10" s="275" t="s">
        <v>15</v>
      </c>
      <c r="C10" s="37">
        <v>652</v>
      </c>
      <c r="D10" s="288">
        <v>1938</v>
      </c>
      <c r="E10" s="37">
        <v>712</v>
      </c>
      <c r="F10" s="288">
        <v>361</v>
      </c>
      <c r="G10" s="718">
        <v>625</v>
      </c>
      <c r="H10" s="719">
        <v>306</v>
      </c>
      <c r="I10" s="291">
        <f t="shared" ref="I10:I30" si="1">SUM(G10-E10)</f>
        <v>-87</v>
      </c>
      <c r="J10" s="171">
        <f t="shared" ref="J10:J30" si="2">I10/E10*100</f>
        <v>-12.219101123595506</v>
      </c>
      <c r="L10" s="181">
        <f>RANK(G10,G10:G30,0)</f>
        <v>21</v>
      </c>
      <c r="M10" s="181">
        <f>RANK(G10,G10:G30,1)</f>
        <v>1</v>
      </c>
      <c r="N10" s="136">
        <v>1</v>
      </c>
      <c r="O10" s="181">
        <f>RANK(J10,J10:J30,0)</f>
        <v>19</v>
      </c>
      <c r="P10" s="181">
        <f>RANK(J10,J10:J30,1)</f>
        <v>3</v>
      </c>
      <c r="Q10" s="136">
        <v>1</v>
      </c>
    </row>
    <row r="11" spans="2:17" ht="16.5" customHeight="1" x14ac:dyDescent="0.25">
      <c r="B11" s="177" t="s">
        <v>16</v>
      </c>
      <c r="C11" s="13">
        <v>3596</v>
      </c>
      <c r="D11" s="289">
        <v>926</v>
      </c>
      <c r="E11" s="13">
        <v>3698</v>
      </c>
      <c r="F11" s="289">
        <v>1884</v>
      </c>
      <c r="G11" s="720">
        <v>3274</v>
      </c>
      <c r="H11" s="721">
        <v>1736</v>
      </c>
      <c r="I11" s="292">
        <f t="shared" si="1"/>
        <v>-424</v>
      </c>
      <c r="J11" s="280">
        <f t="shared" si="2"/>
        <v>-11.465657111952407</v>
      </c>
      <c r="L11" s="9">
        <f>RANK(G11,G10:G30,0)</f>
        <v>3</v>
      </c>
      <c r="M11" s="9">
        <f>RANK(G11,G10:G30,1)</f>
        <v>19</v>
      </c>
      <c r="N11" s="136">
        <v>2</v>
      </c>
      <c r="O11" s="9">
        <f>RANK(J11,J10:J30,0)</f>
        <v>18</v>
      </c>
      <c r="P11" s="9">
        <f>RANK(J11,J10:J30,1)</f>
        <v>4</v>
      </c>
      <c r="Q11" s="136">
        <v>2</v>
      </c>
    </row>
    <row r="12" spans="2:17" ht="18" customHeight="1" x14ac:dyDescent="0.25">
      <c r="B12" s="177" t="s">
        <v>17</v>
      </c>
      <c r="C12" s="13">
        <v>1408</v>
      </c>
      <c r="D12" s="289">
        <v>1641</v>
      </c>
      <c r="E12" s="13">
        <v>1470</v>
      </c>
      <c r="F12" s="289">
        <v>902</v>
      </c>
      <c r="G12" s="720">
        <v>1399</v>
      </c>
      <c r="H12" s="721">
        <v>858</v>
      </c>
      <c r="I12" s="292">
        <f t="shared" si="1"/>
        <v>-71</v>
      </c>
      <c r="J12" s="280">
        <f t="shared" si="2"/>
        <v>-4.8299319727891161</v>
      </c>
      <c r="L12" s="9">
        <f>RANK(G12,G10:G30,0)</f>
        <v>14</v>
      </c>
      <c r="M12" s="9">
        <f>RANK(G12,G10:G30,1)</f>
        <v>8</v>
      </c>
      <c r="N12" s="136">
        <v>3</v>
      </c>
      <c r="O12" s="9">
        <f>RANK(J12,J10:J30,0)</f>
        <v>7</v>
      </c>
      <c r="P12" s="9">
        <f>RANK(J12,J10:J30,1)</f>
        <v>15</v>
      </c>
      <c r="Q12" s="136">
        <v>3</v>
      </c>
    </row>
    <row r="13" spans="2:17" x14ac:dyDescent="0.25">
      <c r="B13" s="177" t="s">
        <v>18</v>
      </c>
      <c r="C13" s="13">
        <v>2891</v>
      </c>
      <c r="D13" s="289">
        <v>2003</v>
      </c>
      <c r="E13" s="13">
        <v>2925</v>
      </c>
      <c r="F13" s="289">
        <v>1560</v>
      </c>
      <c r="G13" s="720">
        <v>2621</v>
      </c>
      <c r="H13" s="721">
        <v>1419</v>
      </c>
      <c r="I13" s="292">
        <f t="shared" si="1"/>
        <v>-304</v>
      </c>
      <c r="J13" s="280">
        <f t="shared" si="2"/>
        <v>-10.393162393162394</v>
      </c>
      <c r="L13" s="9">
        <f>RANK(G13,G10:G30,0)</f>
        <v>6</v>
      </c>
      <c r="M13" s="9">
        <f>RANK(G13,G10:G30,1)</f>
        <v>16</v>
      </c>
      <c r="N13" s="136">
        <v>4</v>
      </c>
      <c r="O13" s="9">
        <f>RANK(J13,J10:J30,0)</f>
        <v>16</v>
      </c>
      <c r="P13" s="9">
        <f>RANK(J13,J10:J30,1)</f>
        <v>6</v>
      </c>
      <c r="Q13" s="136">
        <v>4</v>
      </c>
    </row>
    <row r="14" spans="2:17" x14ac:dyDescent="0.25">
      <c r="B14" s="177" t="s">
        <v>19</v>
      </c>
      <c r="C14" s="13">
        <v>3326</v>
      </c>
      <c r="D14" s="289">
        <v>760</v>
      </c>
      <c r="E14" s="13">
        <v>3521</v>
      </c>
      <c r="F14" s="289">
        <v>2037</v>
      </c>
      <c r="G14" s="720">
        <v>3321</v>
      </c>
      <c r="H14" s="721">
        <v>1952</v>
      </c>
      <c r="I14" s="292">
        <f t="shared" si="1"/>
        <v>-200</v>
      </c>
      <c r="J14" s="280">
        <f t="shared" si="2"/>
        <v>-5.6802044873615447</v>
      </c>
      <c r="L14" s="9">
        <f>RANK(G14,G10:G30,0)</f>
        <v>2</v>
      </c>
      <c r="M14" s="9">
        <f>RANK(G14,G10:G30,1)</f>
        <v>20</v>
      </c>
      <c r="N14" s="136">
        <v>5</v>
      </c>
      <c r="O14" s="9">
        <f>RANK(J14,J10:J30,0)</f>
        <v>8</v>
      </c>
      <c r="P14" s="9">
        <f>RANK(J14,J10:J30,1)</f>
        <v>14</v>
      </c>
      <c r="Q14" s="136">
        <v>5</v>
      </c>
    </row>
    <row r="15" spans="2:17" ht="15.75" customHeight="1" x14ac:dyDescent="0.25">
      <c r="B15" s="177" t="s">
        <v>20</v>
      </c>
      <c r="C15" s="13">
        <v>1405</v>
      </c>
      <c r="D15" s="289">
        <v>939</v>
      </c>
      <c r="E15" s="13">
        <v>1383</v>
      </c>
      <c r="F15" s="289">
        <v>704</v>
      </c>
      <c r="G15" s="720">
        <v>1336</v>
      </c>
      <c r="H15" s="721">
        <v>684</v>
      </c>
      <c r="I15" s="292">
        <f t="shared" si="1"/>
        <v>-47</v>
      </c>
      <c r="J15" s="280">
        <f t="shared" si="2"/>
        <v>-3.3984092552422269</v>
      </c>
      <c r="L15" s="9">
        <f>RANK(G15,G10:G30,0)</f>
        <v>16</v>
      </c>
      <c r="M15" s="9">
        <f>RANK(G15,G10:G30,1)</f>
        <v>6</v>
      </c>
      <c r="N15" s="136">
        <v>6</v>
      </c>
      <c r="O15" s="9">
        <f>RANK(J15,J10:J30,0)</f>
        <v>5</v>
      </c>
      <c r="P15" s="9">
        <f>RANK(J15,J10:J30,1)</f>
        <v>17</v>
      </c>
      <c r="Q15" s="136">
        <v>6</v>
      </c>
    </row>
    <row r="16" spans="2:17" x14ac:dyDescent="0.25">
      <c r="B16" s="177" t="s">
        <v>21</v>
      </c>
      <c r="C16" s="13">
        <v>1648</v>
      </c>
      <c r="D16" s="289">
        <v>602</v>
      </c>
      <c r="E16" s="13">
        <v>1813</v>
      </c>
      <c r="F16" s="289">
        <v>991</v>
      </c>
      <c r="G16" s="720">
        <v>1873</v>
      </c>
      <c r="H16" s="721">
        <v>1022</v>
      </c>
      <c r="I16" s="292">
        <f t="shared" si="1"/>
        <v>60</v>
      </c>
      <c r="J16" s="280">
        <f t="shared" si="2"/>
        <v>3.3094318808604521</v>
      </c>
      <c r="L16" s="9">
        <f>RANK(G16,G10:G30,0)</f>
        <v>11</v>
      </c>
      <c r="M16" s="9">
        <f>RANK(G16,G10:G30,1)</f>
        <v>11</v>
      </c>
      <c r="N16" s="136">
        <v>7</v>
      </c>
      <c r="O16" s="9">
        <f>RANK(J16,J10:J30,0)</f>
        <v>2</v>
      </c>
      <c r="P16" s="9">
        <f>RANK(J16,J10:J30,1)</f>
        <v>20</v>
      </c>
      <c r="Q16" s="136">
        <v>7</v>
      </c>
    </row>
    <row r="17" spans="2:17" x14ac:dyDescent="0.25">
      <c r="B17" s="177" t="s">
        <v>22</v>
      </c>
      <c r="C17" s="13">
        <v>1285</v>
      </c>
      <c r="D17" s="289">
        <v>1324</v>
      </c>
      <c r="E17" s="13">
        <v>1434</v>
      </c>
      <c r="F17" s="289">
        <v>697</v>
      </c>
      <c r="G17" s="720">
        <v>1283</v>
      </c>
      <c r="H17" s="721">
        <v>629</v>
      </c>
      <c r="I17" s="292">
        <f t="shared" si="1"/>
        <v>-151</v>
      </c>
      <c r="J17" s="280">
        <f t="shared" si="2"/>
        <v>-10.529986052998606</v>
      </c>
      <c r="L17" s="9">
        <f>RANK(G17,G10:G30,0)</f>
        <v>17</v>
      </c>
      <c r="M17" s="9">
        <f>RANK(G17,G10:G30,1)</f>
        <v>5</v>
      </c>
      <c r="N17" s="136">
        <v>8</v>
      </c>
      <c r="O17" s="9">
        <f>RANK(J17,J10:J30,0)</f>
        <v>17</v>
      </c>
      <c r="P17" s="9">
        <f>RANK(J17,J10:J30,1)</f>
        <v>5</v>
      </c>
      <c r="Q17" s="136">
        <v>8</v>
      </c>
    </row>
    <row r="18" spans="2:17" x14ac:dyDescent="0.25">
      <c r="B18" s="177" t="s">
        <v>23</v>
      </c>
      <c r="C18" s="13">
        <v>2494</v>
      </c>
      <c r="D18" s="289">
        <v>516</v>
      </c>
      <c r="E18" s="13">
        <v>2419</v>
      </c>
      <c r="F18" s="289">
        <v>1294</v>
      </c>
      <c r="G18" s="720">
        <v>2210</v>
      </c>
      <c r="H18" s="721">
        <v>1220</v>
      </c>
      <c r="I18" s="292">
        <f t="shared" si="1"/>
        <v>-209</v>
      </c>
      <c r="J18" s="280">
        <f t="shared" si="2"/>
        <v>-8.6399338569656887</v>
      </c>
      <c r="L18" s="9">
        <f>RANK(G18,G10:G30,0)</f>
        <v>8</v>
      </c>
      <c r="M18" s="9">
        <f>RANK(G18,G10:G30,1)</f>
        <v>14</v>
      </c>
      <c r="N18" s="136">
        <v>9</v>
      </c>
      <c r="O18" s="9">
        <f>RANK(J18,J10:J30,0)</f>
        <v>14</v>
      </c>
      <c r="P18" s="9">
        <f>RANK(J18,J10:J30,1)</f>
        <v>8</v>
      </c>
      <c r="Q18" s="136">
        <v>9</v>
      </c>
    </row>
    <row r="19" spans="2:17" x14ac:dyDescent="0.25">
      <c r="B19" s="177" t="s">
        <v>24</v>
      </c>
      <c r="C19" s="13">
        <v>1081</v>
      </c>
      <c r="D19" s="289">
        <v>1181</v>
      </c>
      <c r="E19" s="13">
        <v>1224</v>
      </c>
      <c r="F19" s="289">
        <v>586</v>
      </c>
      <c r="G19" s="720">
        <v>1028</v>
      </c>
      <c r="H19" s="721">
        <v>491</v>
      </c>
      <c r="I19" s="292">
        <f t="shared" si="1"/>
        <v>-196</v>
      </c>
      <c r="J19" s="280">
        <f t="shared" si="2"/>
        <v>-16.013071895424837</v>
      </c>
      <c r="L19" s="9">
        <f>RANK(G19,G10:G30,0)</f>
        <v>18</v>
      </c>
      <c r="M19" s="9">
        <f>RANK(G19,G10:G30,1)</f>
        <v>4</v>
      </c>
      <c r="N19" s="136">
        <v>10</v>
      </c>
      <c r="O19" s="9">
        <f>RANK(J19,J10:J30,0)</f>
        <v>21</v>
      </c>
      <c r="P19" s="9">
        <f>RANK(J19,J10:J30,1)</f>
        <v>1</v>
      </c>
      <c r="Q19" s="136">
        <v>10</v>
      </c>
    </row>
    <row r="20" spans="2:17" x14ac:dyDescent="0.25">
      <c r="B20" s="177" t="s">
        <v>25</v>
      </c>
      <c r="C20" s="13">
        <v>2246</v>
      </c>
      <c r="D20" s="289">
        <v>659</v>
      </c>
      <c r="E20" s="13">
        <v>2067</v>
      </c>
      <c r="F20" s="289">
        <v>1007</v>
      </c>
      <c r="G20" s="720">
        <v>1947</v>
      </c>
      <c r="H20" s="721">
        <v>969</v>
      </c>
      <c r="I20" s="292">
        <f t="shared" si="1"/>
        <v>-120</v>
      </c>
      <c r="J20" s="280">
        <f t="shared" si="2"/>
        <v>-5.8055152394775034</v>
      </c>
      <c r="L20" s="9">
        <f>RANK(G20,G10:G30,0)</f>
        <v>9</v>
      </c>
      <c r="M20" s="9">
        <f>RANK(G20,G10:G30,1)</f>
        <v>13</v>
      </c>
      <c r="N20" s="136">
        <v>11</v>
      </c>
      <c r="O20" s="9">
        <f>RANK(J20,J10:J30,0)</f>
        <v>9</v>
      </c>
      <c r="P20" s="9">
        <f>RANK(J20,J10:J30,1)</f>
        <v>13</v>
      </c>
      <c r="Q20" s="136">
        <v>11</v>
      </c>
    </row>
    <row r="21" spans="2:17" x14ac:dyDescent="0.25">
      <c r="B21" s="177" t="s">
        <v>26</v>
      </c>
      <c r="C21" s="13">
        <v>1205</v>
      </c>
      <c r="D21" s="289">
        <v>1040</v>
      </c>
      <c r="E21" s="13">
        <v>1279</v>
      </c>
      <c r="F21" s="289">
        <v>675</v>
      </c>
      <c r="G21" s="720">
        <v>1379</v>
      </c>
      <c r="H21" s="721">
        <v>709</v>
      </c>
      <c r="I21" s="292">
        <f t="shared" si="1"/>
        <v>100</v>
      </c>
      <c r="J21" s="280">
        <f t="shared" si="2"/>
        <v>7.8186082877247847</v>
      </c>
      <c r="L21" s="9">
        <f>RANK(G21,G10:G30,0)</f>
        <v>15</v>
      </c>
      <c r="M21" s="9">
        <f>RANK(G21,G10:G30,1)</f>
        <v>7</v>
      </c>
      <c r="N21" s="136">
        <v>12</v>
      </c>
      <c r="O21" s="9">
        <f>RANK(J21,J10:J30,0)</f>
        <v>1</v>
      </c>
      <c r="P21" s="9">
        <f>RANK(J21,J10:J30,1)</f>
        <v>21</v>
      </c>
      <c r="Q21" s="136">
        <v>12</v>
      </c>
    </row>
    <row r="22" spans="2:17" x14ac:dyDescent="0.25">
      <c r="B22" s="177" t="s">
        <v>27</v>
      </c>
      <c r="C22" s="13">
        <v>2028</v>
      </c>
      <c r="D22" s="289">
        <v>1636</v>
      </c>
      <c r="E22" s="13">
        <v>2018</v>
      </c>
      <c r="F22" s="289">
        <v>1044</v>
      </c>
      <c r="G22" s="720">
        <v>1944</v>
      </c>
      <c r="H22" s="721">
        <v>1005</v>
      </c>
      <c r="I22" s="292">
        <f t="shared" si="1"/>
        <v>-74</v>
      </c>
      <c r="J22" s="280">
        <f t="shared" si="2"/>
        <v>-3.6669970267591676</v>
      </c>
      <c r="L22" s="9">
        <f>RANK(G22,G10:G30,0)</f>
        <v>10</v>
      </c>
      <c r="M22" s="9">
        <f>RANK(G22,G10:G30,1)</f>
        <v>12</v>
      </c>
      <c r="N22" s="136">
        <v>13</v>
      </c>
      <c r="O22" s="9">
        <f>RANK(J22,J10:J30,0)</f>
        <v>6</v>
      </c>
      <c r="P22" s="9">
        <f>RANK(J22,J10:J30,1)</f>
        <v>16</v>
      </c>
      <c r="Q22" s="136">
        <v>13</v>
      </c>
    </row>
    <row r="23" spans="2:17" x14ac:dyDescent="0.25">
      <c r="B23" s="178" t="s">
        <v>28</v>
      </c>
      <c r="C23" s="13">
        <v>3047</v>
      </c>
      <c r="D23" s="289">
        <v>1549</v>
      </c>
      <c r="E23" s="13">
        <v>3060</v>
      </c>
      <c r="F23" s="289">
        <v>1593</v>
      </c>
      <c r="G23" s="720">
        <v>2772</v>
      </c>
      <c r="H23" s="721">
        <v>1441</v>
      </c>
      <c r="I23" s="292">
        <f t="shared" si="1"/>
        <v>-288</v>
      </c>
      <c r="J23" s="280">
        <f t="shared" si="2"/>
        <v>-9.4117647058823533</v>
      </c>
      <c r="L23" s="9">
        <f>RANK(G23,G10:G30,0)</f>
        <v>4</v>
      </c>
      <c r="M23" s="9">
        <f>RANK(G23,G10:G30,1)</f>
        <v>18</v>
      </c>
      <c r="N23" s="136">
        <v>14</v>
      </c>
      <c r="O23" s="9">
        <f>RANK(J23,J10:J30,0)</f>
        <v>15</v>
      </c>
      <c r="P23" s="9">
        <f>RANK(J23,J10:J30,1)</f>
        <v>7</v>
      </c>
      <c r="Q23" s="136">
        <v>14</v>
      </c>
    </row>
    <row r="24" spans="2:17" x14ac:dyDescent="0.25">
      <c r="B24" s="178" t="s">
        <v>29</v>
      </c>
      <c r="C24" s="13">
        <v>2640</v>
      </c>
      <c r="D24" s="289">
        <v>1081</v>
      </c>
      <c r="E24" s="13">
        <v>2789</v>
      </c>
      <c r="F24" s="289">
        <v>1597</v>
      </c>
      <c r="G24" s="720">
        <v>2388</v>
      </c>
      <c r="H24" s="721">
        <v>1319</v>
      </c>
      <c r="I24" s="292">
        <f t="shared" si="1"/>
        <v>-401</v>
      </c>
      <c r="J24" s="280">
        <f t="shared" si="2"/>
        <v>-14.377913230548584</v>
      </c>
      <c r="L24" s="9">
        <f>RANK(G24,G10:G30,0)</f>
        <v>7</v>
      </c>
      <c r="M24" s="9">
        <f>RANK(G24,G10:G30,1)</f>
        <v>15</v>
      </c>
      <c r="N24" s="136">
        <v>15</v>
      </c>
      <c r="O24" s="9">
        <f>RANK(J24,J10:J30,0)</f>
        <v>20</v>
      </c>
      <c r="P24" s="9">
        <f>RANK(J24,J10:J30,1)</f>
        <v>2</v>
      </c>
      <c r="Q24" s="136">
        <v>15</v>
      </c>
    </row>
    <row r="25" spans="2:17" x14ac:dyDescent="0.25">
      <c r="B25" s="178" t="s">
        <v>30</v>
      </c>
      <c r="C25" s="13">
        <v>1936</v>
      </c>
      <c r="D25" s="289">
        <v>2025</v>
      </c>
      <c r="E25" s="13">
        <v>1801</v>
      </c>
      <c r="F25" s="289">
        <v>935</v>
      </c>
      <c r="G25" s="720">
        <v>1654</v>
      </c>
      <c r="H25" s="721">
        <v>898</v>
      </c>
      <c r="I25" s="292">
        <f t="shared" si="1"/>
        <v>-147</v>
      </c>
      <c r="J25" s="280">
        <f t="shared" si="2"/>
        <v>-8.1621321488062186</v>
      </c>
      <c r="L25" s="9">
        <f>RANK(G25,G10:G30,0)</f>
        <v>12</v>
      </c>
      <c r="M25" s="9">
        <f>RANK(G25,G10:G30,1)</f>
        <v>10</v>
      </c>
      <c r="N25" s="136">
        <v>16</v>
      </c>
      <c r="O25" s="9">
        <f>RANK(J25,J10:J30,0)</f>
        <v>13</v>
      </c>
      <c r="P25" s="9">
        <f>RANK(J25,J10:J30,1)</f>
        <v>9</v>
      </c>
      <c r="Q25" s="136">
        <v>16</v>
      </c>
    </row>
    <row r="26" spans="2:17" x14ac:dyDescent="0.25">
      <c r="B26" s="178" t="s">
        <v>31</v>
      </c>
      <c r="C26" s="13">
        <v>3969</v>
      </c>
      <c r="D26" s="289">
        <v>698</v>
      </c>
      <c r="E26" s="13">
        <v>3929</v>
      </c>
      <c r="F26" s="289">
        <v>1955</v>
      </c>
      <c r="G26" s="720">
        <v>3625</v>
      </c>
      <c r="H26" s="721">
        <v>1788</v>
      </c>
      <c r="I26" s="292">
        <f t="shared" si="1"/>
        <v>-304</v>
      </c>
      <c r="J26" s="280">
        <f t="shared" si="2"/>
        <v>-7.7373377449732761</v>
      </c>
      <c r="L26" s="9">
        <f>RANK(G26,G10:G30,0)</f>
        <v>1</v>
      </c>
      <c r="M26" s="9">
        <f>RANK(G26,G10:G30,1)</f>
        <v>21</v>
      </c>
      <c r="N26" s="136">
        <v>17</v>
      </c>
      <c r="O26" s="9">
        <f>RANK(J26,J10:J30,0)</f>
        <v>12</v>
      </c>
      <c r="P26" s="9">
        <f>RANK(J26,J10:J30,1)</f>
        <v>10</v>
      </c>
      <c r="Q26" s="136">
        <v>17</v>
      </c>
    </row>
    <row r="27" spans="2:17" x14ac:dyDescent="0.25">
      <c r="B27" s="178" t="s">
        <v>32</v>
      </c>
      <c r="C27" s="13">
        <v>1353</v>
      </c>
      <c r="D27" s="289">
        <v>432</v>
      </c>
      <c r="E27" s="13">
        <v>1543</v>
      </c>
      <c r="F27" s="289">
        <v>764</v>
      </c>
      <c r="G27" s="720">
        <v>1514</v>
      </c>
      <c r="H27" s="721">
        <v>786</v>
      </c>
      <c r="I27" s="292">
        <f t="shared" si="1"/>
        <v>-29</v>
      </c>
      <c r="J27" s="280">
        <f t="shared" si="2"/>
        <v>-1.8794556059624108</v>
      </c>
      <c r="L27" s="9">
        <f>RANK(G27,G10:G30,0)</f>
        <v>13</v>
      </c>
      <c r="M27" s="9">
        <f>RANK(G27,G10:G30,1)</f>
        <v>9</v>
      </c>
      <c r="N27" s="136">
        <v>18</v>
      </c>
      <c r="O27" s="9">
        <f>RANK(J27,J10:J30,0)</f>
        <v>4</v>
      </c>
      <c r="P27" s="9">
        <f>RANK(J27,J10:J30,1)</f>
        <v>18</v>
      </c>
      <c r="Q27" s="136">
        <v>18</v>
      </c>
    </row>
    <row r="28" spans="2:17" x14ac:dyDescent="0.25">
      <c r="B28" s="178" t="s">
        <v>33</v>
      </c>
      <c r="C28" s="13">
        <v>763</v>
      </c>
      <c r="D28" s="289">
        <v>1555</v>
      </c>
      <c r="E28" s="13">
        <v>744</v>
      </c>
      <c r="F28" s="289">
        <v>414</v>
      </c>
      <c r="G28" s="720">
        <v>746</v>
      </c>
      <c r="H28" s="721">
        <v>397</v>
      </c>
      <c r="I28" s="292">
        <f t="shared" si="1"/>
        <v>2</v>
      </c>
      <c r="J28" s="280">
        <f t="shared" si="2"/>
        <v>0.26881720430107531</v>
      </c>
      <c r="L28" s="9">
        <f>RANK(G28,G10:G30,0)</f>
        <v>20</v>
      </c>
      <c r="M28" s="9">
        <f>RANK(G28,G10:G30,1)</f>
        <v>2</v>
      </c>
      <c r="N28" s="136">
        <v>19</v>
      </c>
      <c r="O28" s="9">
        <f>RANK(J28,J10:J30,0)</f>
        <v>3</v>
      </c>
      <c r="P28" s="9">
        <f>RANK(J28,J10:J30,1)</f>
        <v>19</v>
      </c>
      <c r="Q28" s="136">
        <v>19</v>
      </c>
    </row>
    <row r="29" spans="2:17" x14ac:dyDescent="0.25">
      <c r="B29" s="178" t="s">
        <v>34</v>
      </c>
      <c r="C29" s="13">
        <v>2876</v>
      </c>
      <c r="D29" s="289">
        <v>621</v>
      </c>
      <c r="E29" s="13">
        <v>2907</v>
      </c>
      <c r="F29" s="289">
        <v>1526</v>
      </c>
      <c r="G29" s="720">
        <v>2704</v>
      </c>
      <c r="H29" s="721">
        <v>1437</v>
      </c>
      <c r="I29" s="292">
        <f t="shared" si="1"/>
        <v>-203</v>
      </c>
      <c r="J29" s="280">
        <f t="shared" si="2"/>
        <v>-6.9831441348469205</v>
      </c>
      <c r="L29" s="9">
        <f>RANK(G29,G10:G30,0)</f>
        <v>5</v>
      </c>
      <c r="M29" s="9">
        <f>RANK(G29,G10:G30,1)</f>
        <v>17</v>
      </c>
      <c r="N29" s="136">
        <v>20</v>
      </c>
      <c r="O29" s="9">
        <f>RANK(J29,J10:J30,0)</f>
        <v>11</v>
      </c>
      <c r="P29" s="9">
        <f>RANK(J29,J10:J30,1)</f>
        <v>11</v>
      </c>
      <c r="Q29" s="136">
        <v>20</v>
      </c>
    </row>
    <row r="30" spans="2:17" ht="15.75" thickBot="1" x14ac:dyDescent="0.3">
      <c r="B30" s="179" t="s">
        <v>35</v>
      </c>
      <c r="C30" s="19">
        <v>1136</v>
      </c>
      <c r="D30" s="290">
        <v>343</v>
      </c>
      <c r="E30" s="19">
        <v>1042</v>
      </c>
      <c r="F30" s="290">
        <v>541</v>
      </c>
      <c r="G30" s="722">
        <v>974</v>
      </c>
      <c r="H30" s="723">
        <v>507</v>
      </c>
      <c r="I30" s="293">
        <f t="shared" si="1"/>
        <v>-68</v>
      </c>
      <c r="J30" s="138">
        <f t="shared" si="2"/>
        <v>-6.525911708253358</v>
      </c>
      <c r="L30" s="9">
        <f>RANK(G30,G10:G30,0)</f>
        <v>19</v>
      </c>
      <c r="M30" s="9">
        <f>RANK(G30,G10:G30,1)</f>
        <v>3</v>
      </c>
      <c r="N30" s="136">
        <v>21</v>
      </c>
      <c r="O30" s="9">
        <f>RANK(J30,J10:J30,0)</f>
        <v>10</v>
      </c>
      <c r="P30" s="9">
        <f>RANK(J30,J10:J30,1)</f>
        <v>12</v>
      </c>
      <c r="Q30" s="136">
        <v>21</v>
      </c>
    </row>
  </sheetData>
  <mergeCells count="4">
    <mergeCell ref="C5:D5"/>
    <mergeCell ref="G5:H5"/>
    <mergeCell ref="E5:F5"/>
    <mergeCell ref="B5:B6"/>
  </mergeCells>
  <printOptions horizontalCentered="1"/>
  <pageMargins left="0" right="0" top="1.0236220472440944" bottom="0.31496062992125984" header="0.31496062992125984" footer="0.31496062992125984"/>
  <pageSetup paperSize="9" scale="9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B1:P31"/>
  <sheetViews>
    <sheetView zoomScale="90" zoomScaleNormal="90" workbookViewId="0">
      <selection activeCell="B1" sqref="B1:N1"/>
    </sheetView>
  </sheetViews>
  <sheetFormatPr defaultColWidth="9.140625" defaultRowHeight="15" x14ac:dyDescent="0.25"/>
  <cols>
    <col min="1" max="1" width="1.7109375" style="11" customWidth="1"/>
    <col min="2" max="2" width="65.140625" style="11" customWidth="1"/>
    <col min="3" max="3" width="9.5703125" style="11" customWidth="1"/>
    <col min="4" max="4" width="7.85546875" style="11" customWidth="1"/>
    <col min="5" max="5" width="9.28515625" style="11" bestFit="1" customWidth="1"/>
    <col min="6" max="6" width="7.85546875" style="11" customWidth="1"/>
    <col min="7" max="7" width="9.5703125" style="11" customWidth="1"/>
    <col min="8" max="8" width="8" style="11" customWidth="1"/>
    <col min="9" max="9" width="9.28515625" style="11" bestFit="1" customWidth="1"/>
    <col min="10" max="10" width="8.7109375" style="11" customWidth="1"/>
    <col min="11" max="11" width="9.42578125" style="11" customWidth="1"/>
    <col min="12" max="12" width="7.28515625" style="11" customWidth="1"/>
    <col min="13" max="13" width="9.7109375" style="11" customWidth="1"/>
    <col min="14" max="14" width="7" style="11" customWidth="1"/>
    <col min="15" max="15" width="2.85546875" style="11" customWidth="1"/>
    <col min="16" max="16" width="5.85546875" style="137" customWidth="1"/>
    <col min="17" max="16384" width="9.140625" style="11"/>
  </cols>
  <sheetData>
    <row r="1" spans="2:16" x14ac:dyDescent="0.25">
      <c r="B1" s="972" t="s">
        <v>372</v>
      </c>
      <c r="C1" s="972"/>
      <c r="D1" s="972"/>
      <c r="E1" s="972"/>
      <c r="F1" s="972"/>
      <c r="G1" s="972"/>
      <c r="H1" s="972"/>
      <c r="I1" s="972"/>
      <c r="J1" s="972"/>
      <c r="K1" s="972"/>
      <c r="L1" s="972"/>
      <c r="M1" s="972"/>
      <c r="N1" s="972"/>
      <c r="O1" s="405"/>
    </row>
    <row r="2" spans="2:16" ht="15.75" customHeight="1" thickBot="1" x14ac:dyDescent="0.3">
      <c r="B2" s="165" t="s">
        <v>365</v>
      </c>
      <c r="C2" s="163"/>
      <c r="D2" s="163"/>
      <c r="E2" s="163"/>
      <c r="F2" s="163"/>
      <c r="K2" s="144"/>
      <c r="L2" s="144"/>
      <c r="M2" s="144"/>
      <c r="N2" s="144"/>
      <c r="O2" s="144"/>
    </row>
    <row r="3" spans="2:16" x14ac:dyDescent="0.25">
      <c r="B3" s="968" t="s">
        <v>103</v>
      </c>
      <c r="C3" s="957" t="s">
        <v>485</v>
      </c>
      <c r="D3" s="958"/>
      <c r="E3" s="958"/>
      <c r="F3" s="959"/>
      <c r="G3" s="964" t="s">
        <v>486</v>
      </c>
      <c r="H3" s="965"/>
      <c r="I3" s="965"/>
      <c r="J3" s="966"/>
      <c r="K3" s="967" t="s">
        <v>109</v>
      </c>
      <c r="L3" s="958"/>
      <c r="M3" s="958"/>
      <c r="N3" s="959"/>
      <c r="O3" s="361"/>
    </row>
    <row r="4" spans="2:16" ht="15.75" customHeight="1" x14ac:dyDescent="0.25">
      <c r="B4" s="969"/>
      <c r="C4" s="960" t="s">
        <v>4</v>
      </c>
      <c r="D4" s="961"/>
      <c r="E4" s="962" t="s">
        <v>94</v>
      </c>
      <c r="F4" s="963"/>
      <c r="G4" s="973" t="s">
        <v>4</v>
      </c>
      <c r="H4" s="974"/>
      <c r="I4" s="975" t="s">
        <v>94</v>
      </c>
      <c r="J4" s="976"/>
      <c r="K4" s="971" t="s">
        <v>4</v>
      </c>
      <c r="L4" s="961"/>
      <c r="M4" s="962" t="s">
        <v>94</v>
      </c>
      <c r="N4" s="963"/>
      <c r="O4" s="419"/>
    </row>
    <row r="5" spans="2:16" ht="15.75" customHeight="1" thickBot="1" x14ac:dyDescent="0.3">
      <c r="B5" s="970"/>
      <c r="C5" s="724" t="s">
        <v>107</v>
      </c>
      <c r="D5" s="725" t="s">
        <v>414</v>
      </c>
      <c r="E5" s="726" t="s">
        <v>107</v>
      </c>
      <c r="F5" s="725" t="s">
        <v>414</v>
      </c>
      <c r="G5" s="840" t="s">
        <v>107</v>
      </c>
      <c r="H5" s="841" t="s">
        <v>414</v>
      </c>
      <c r="I5" s="842" t="s">
        <v>107</v>
      </c>
      <c r="J5" s="843" t="s">
        <v>414</v>
      </c>
      <c r="K5" s="726" t="s">
        <v>107</v>
      </c>
      <c r="L5" s="725" t="s">
        <v>414</v>
      </c>
      <c r="M5" s="726" t="s">
        <v>107</v>
      </c>
      <c r="N5" s="727" t="s">
        <v>414</v>
      </c>
      <c r="O5" s="420"/>
    </row>
    <row r="6" spans="2:16" ht="18.75" x14ac:dyDescent="0.3">
      <c r="B6" s="259" t="s">
        <v>106</v>
      </c>
      <c r="C6" s="260">
        <v>69046</v>
      </c>
      <c r="D6" s="97">
        <v>100</v>
      </c>
      <c r="E6" s="47">
        <v>36088</v>
      </c>
      <c r="F6" s="98">
        <v>100</v>
      </c>
      <c r="G6" s="260">
        <v>65064</v>
      </c>
      <c r="H6" s="97">
        <v>100</v>
      </c>
      <c r="I6" s="47">
        <v>34104</v>
      </c>
      <c r="J6" s="98">
        <v>100</v>
      </c>
      <c r="K6" s="261">
        <f>G6-C6</f>
        <v>-3982</v>
      </c>
      <c r="L6" s="262">
        <f>K6/C6*100</f>
        <v>-5.7671697129449928</v>
      </c>
      <c r="M6" s="263">
        <f>I6-E6</f>
        <v>-1984</v>
      </c>
      <c r="N6" s="264">
        <f>M6/E6*100</f>
        <v>-5.4976723564619823</v>
      </c>
      <c r="O6" s="416"/>
    </row>
    <row r="7" spans="2:16" ht="16.5" customHeight="1" thickBot="1" x14ac:dyDescent="0.3">
      <c r="B7" s="252" t="s">
        <v>228</v>
      </c>
      <c r="C7" s="3">
        <v>59954</v>
      </c>
      <c r="D7" s="249" t="s">
        <v>93</v>
      </c>
      <c r="E7" s="5">
        <v>32024</v>
      </c>
      <c r="F7" s="253" t="s">
        <v>93</v>
      </c>
      <c r="G7" s="3">
        <v>55884</v>
      </c>
      <c r="H7" s="249" t="s">
        <v>93</v>
      </c>
      <c r="I7" s="5">
        <v>29965</v>
      </c>
      <c r="J7" s="253" t="s">
        <v>93</v>
      </c>
      <c r="K7" s="110">
        <f>SUM(G7)-C7</f>
        <v>-4070</v>
      </c>
      <c r="L7" s="250">
        <f>K7/C7*100</f>
        <v>-6.7885378790405975</v>
      </c>
      <c r="M7" s="111">
        <f>SUM(I7)-E7</f>
        <v>-2059</v>
      </c>
      <c r="N7" s="251">
        <f>M7/E7*100</f>
        <v>-6.4295528353734701</v>
      </c>
      <c r="O7" s="417"/>
    </row>
    <row r="8" spans="2:16" ht="16.5" customHeight="1" thickBot="1" x14ac:dyDescent="0.3">
      <c r="B8" s="728" t="s">
        <v>49</v>
      </c>
      <c r="C8" s="729"/>
      <c r="D8" s="730"/>
      <c r="E8" s="729"/>
      <c r="F8" s="730"/>
      <c r="G8" s="729"/>
      <c r="H8" s="730"/>
      <c r="I8" s="729"/>
      <c r="J8" s="731"/>
      <c r="K8" s="732"/>
      <c r="L8" s="733"/>
      <c r="M8" s="732"/>
      <c r="N8" s="734"/>
      <c r="O8" s="421"/>
    </row>
    <row r="9" spans="2:16" x14ac:dyDescent="0.25">
      <c r="B9" s="241" t="s">
        <v>230</v>
      </c>
      <c r="C9" s="242">
        <v>17985</v>
      </c>
      <c r="D9" s="245">
        <f>SUM(C9*100/C6)</f>
        <v>26.047852156533324</v>
      </c>
      <c r="E9" s="244">
        <v>9863</v>
      </c>
      <c r="F9" s="247">
        <f>SUM(E9*100/E6)</f>
        <v>27.330414542230105</v>
      </c>
      <c r="G9" s="242">
        <v>16211</v>
      </c>
      <c r="H9" s="255">
        <f>SUM(G9*100/G6)</f>
        <v>24.915467847042912</v>
      </c>
      <c r="I9" s="244">
        <v>9027</v>
      </c>
      <c r="J9" s="257">
        <f>SUM(I9*100/I6)</f>
        <v>26.469035890218155</v>
      </c>
      <c r="K9" s="461">
        <f>G9-C9</f>
        <v>-1774</v>
      </c>
      <c r="L9" s="255">
        <f>K9/C9*100</f>
        <v>-9.8637753683625249</v>
      </c>
      <c r="M9" s="243">
        <f t="shared" ref="M9:M16" si="0">I9-E9</f>
        <v>-836</v>
      </c>
      <c r="N9" s="257">
        <f t="shared" ref="N9:N16" si="1">M9/E9*100</f>
        <v>-8.4761228835040043</v>
      </c>
      <c r="O9" s="418"/>
      <c r="P9" s="373">
        <f>SUM(D9-H9)</f>
        <v>1.132384309490412</v>
      </c>
    </row>
    <row r="10" spans="2:16" x14ac:dyDescent="0.25">
      <c r="B10" s="164" t="s">
        <v>229</v>
      </c>
      <c r="C10" s="150">
        <v>9195</v>
      </c>
      <c r="D10" s="146">
        <f>SUM(C10*100/C6)</f>
        <v>13.317208817310199</v>
      </c>
      <c r="E10" s="151">
        <v>4536</v>
      </c>
      <c r="F10" s="147">
        <f>SUM(E10*100/E6)</f>
        <v>12.569275105298161</v>
      </c>
      <c r="G10" s="150">
        <v>8064</v>
      </c>
      <c r="H10" s="146">
        <f>SUM(G10*100/G6)</f>
        <v>12.393950571744744</v>
      </c>
      <c r="I10" s="151">
        <v>4022</v>
      </c>
      <c r="J10" s="464">
        <f>SUM(I10*100/I6)</f>
        <v>11.793338024865118</v>
      </c>
      <c r="K10" s="462">
        <f t="shared" ref="K10:K16" si="2">G10-C10</f>
        <v>-1131</v>
      </c>
      <c r="L10" s="185">
        <f>K10/C10*100</f>
        <v>-12.30016313213703</v>
      </c>
      <c r="M10" s="108">
        <f t="shared" si="0"/>
        <v>-514</v>
      </c>
      <c r="N10" s="106">
        <f t="shared" si="1"/>
        <v>-11.331569664902998</v>
      </c>
      <c r="O10" s="409"/>
    </row>
    <row r="11" spans="2:16" x14ac:dyDescent="0.25">
      <c r="B11" s="149" t="s">
        <v>231</v>
      </c>
      <c r="C11" s="150">
        <v>39902</v>
      </c>
      <c r="D11" s="146">
        <f>SUM(C11*100/C6)</f>
        <v>57.790458534889787</v>
      </c>
      <c r="E11" s="151">
        <v>22274</v>
      </c>
      <c r="F11" s="147">
        <f>SUM(E11*100/E6)</f>
        <v>61.721347816448684</v>
      </c>
      <c r="G11" s="150">
        <v>37173</v>
      </c>
      <c r="H11" s="146">
        <f>SUM(G11*100/G6)</f>
        <v>57.132976761342675</v>
      </c>
      <c r="I11" s="151">
        <v>20781</v>
      </c>
      <c r="J11" s="464">
        <f>SUM(I11*100/I6)</f>
        <v>60.934201266713579</v>
      </c>
      <c r="K11" s="462">
        <f>G11-C11</f>
        <v>-2729</v>
      </c>
      <c r="L11" s="185">
        <f>K11/C11*100</f>
        <v>-6.8392561776352059</v>
      </c>
      <c r="M11" s="108">
        <f t="shared" si="0"/>
        <v>-1493</v>
      </c>
      <c r="N11" s="106">
        <f t="shared" si="1"/>
        <v>-6.7028822842776332</v>
      </c>
      <c r="O11" s="409"/>
      <c r="P11" s="373">
        <f>SUM(D11-H11)</f>
        <v>0.65748177354711146</v>
      </c>
    </row>
    <row r="12" spans="2:16" x14ac:dyDescent="0.25">
      <c r="B12" s="149" t="s">
        <v>232</v>
      </c>
      <c r="C12" s="150">
        <v>17266</v>
      </c>
      <c r="D12" s="146">
        <f>SUM(C12*100/C6)</f>
        <v>25.006517394200966</v>
      </c>
      <c r="E12" s="151">
        <v>6435</v>
      </c>
      <c r="F12" s="147">
        <f>SUM(E12*100/E6)</f>
        <v>17.831412103746398</v>
      </c>
      <c r="G12" s="150">
        <v>16174</v>
      </c>
      <c r="H12" s="146">
        <f>SUM(G12*100/G6)</f>
        <v>24.858600762326326</v>
      </c>
      <c r="I12" s="151">
        <v>5976</v>
      </c>
      <c r="J12" s="464">
        <f>SUM(I12*100/I6)</f>
        <v>17.522871217452497</v>
      </c>
      <c r="K12" s="462">
        <f>G12-C12</f>
        <v>-1092</v>
      </c>
      <c r="L12" s="185">
        <f t="shared" ref="L12:L16" si="3">K12/C12*100</f>
        <v>-6.3245685161589256</v>
      </c>
      <c r="M12" s="108">
        <f t="shared" si="0"/>
        <v>-459</v>
      </c>
      <c r="N12" s="106">
        <f t="shared" si="1"/>
        <v>-7.1328671328671325</v>
      </c>
      <c r="O12" s="409"/>
      <c r="P12" s="377">
        <f>SUM(D12-H12)</f>
        <v>0.1479166318746401</v>
      </c>
    </row>
    <row r="13" spans="2:16" x14ac:dyDescent="0.25">
      <c r="B13" s="149" t="s">
        <v>233</v>
      </c>
      <c r="C13" s="150">
        <v>999</v>
      </c>
      <c r="D13" s="146">
        <f>SUM(C13*100/C6)</f>
        <v>1.4468615126147786</v>
      </c>
      <c r="E13" s="151">
        <v>518</v>
      </c>
      <c r="F13" s="147">
        <f>SUM(E13*100/E6)</f>
        <v>1.4353801817778764</v>
      </c>
      <c r="G13" s="150">
        <v>863</v>
      </c>
      <c r="H13" s="256">
        <f>SUM(G13*100/G6)</f>
        <v>1.3263863273084961</v>
      </c>
      <c r="I13" s="151">
        <v>478</v>
      </c>
      <c r="J13" s="258">
        <f>SUM(I13*100/I6)</f>
        <v>1.4015951208069435</v>
      </c>
      <c r="K13" s="463">
        <f t="shared" si="2"/>
        <v>-136</v>
      </c>
      <c r="L13" s="256">
        <f t="shared" si="3"/>
        <v>-13.613613613613614</v>
      </c>
      <c r="M13" s="145">
        <f t="shared" si="0"/>
        <v>-40</v>
      </c>
      <c r="N13" s="258">
        <f t="shared" si="1"/>
        <v>-7.7220077220077217</v>
      </c>
      <c r="O13" s="418"/>
    </row>
    <row r="14" spans="2:16" ht="15.75" customHeight="1" x14ac:dyDescent="0.25">
      <c r="B14" s="149" t="s">
        <v>234</v>
      </c>
      <c r="C14" s="150">
        <v>12554</v>
      </c>
      <c r="D14" s="146">
        <f>SUM(C14*100/C6)</f>
        <v>18.182081510876806</v>
      </c>
      <c r="E14" s="151">
        <v>10641</v>
      </c>
      <c r="F14" s="147">
        <f>SUM(E14*100/E6)</f>
        <v>29.486255819108845</v>
      </c>
      <c r="G14" s="150">
        <v>11967</v>
      </c>
      <c r="H14" s="256">
        <f>SUM(G14*100/G6)</f>
        <v>18.392659535226855</v>
      </c>
      <c r="I14" s="151">
        <v>10199</v>
      </c>
      <c r="J14" s="258">
        <f>SUM(I14*100/I6)</f>
        <v>29.905582922824301</v>
      </c>
      <c r="K14" s="463">
        <f t="shared" si="2"/>
        <v>-587</v>
      </c>
      <c r="L14" s="256">
        <f t="shared" si="3"/>
        <v>-4.6758005416600286</v>
      </c>
      <c r="M14" s="145">
        <f t="shared" si="0"/>
        <v>-442</v>
      </c>
      <c r="N14" s="258">
        <f t="shared" si="1"/>
        <v>-4.1537449487830091</v>
      </c>
      <c r="O14" s="418"/>
    </row>
    <row r="15" spans="2:16" ht="14.25" customHeight="1" x14ac:dyDescent="0.25">
      <c r="B15" s="149" t="s">
        <v>235</v>
      </c>
      <c r="C15" s="150">
        <v>124</v>
      </c>
      <c r="D15" s="146">
        <f>SUM(C15*100/C6)</f>
        <v>0.17959041798221476</v>
      </c>
      <c r="E15" s="151">
        <v>78</v>
      </c>
      <c r="F15" s="147">
        <f>SUM(E15*100/E6)</f>
        <v>0.21613832853025935</v>
      </c>
      <c r="G15" s="150">
        <v>111</v>
      </c>
      <c r="H15" s="256">
        <f>SUM(G15*100/G6)</f>
        <v>0.17060125414976024</v>
      </c>
      <c r="I15" s="151">
        <v>78</v>
      </c>
      <c r="J15" s="258">
        <f>SUM(I15*100/I6)</f>
        <v>0.22871217452498241</v>
      </c>
      <c r="K15" s="463">
        <f t="shared" si="2"/>
        <v>-13</v>
      </c>
      <c r="L15" s="256">
        <f t="shared" si="3"/>
        <v>-10.483870967741936</v>
      </c>
      <c r="M15" s="145">
        <f t="shared" si="0"/>
        <v>0</v>
      </c>
      <c r="N15" s="258">
        <f t="shared" si="1"/>
        <v>0</v>
      </c>
      <c r="O15" s="418"/>
    </row>
    <row r="16" spans="2:16" ht="15.75" thickBot="1" x14ac:dyDescent="0.3">
      <c r="B16" s="155" t="s">
        <v>236</v>
      </c>
      <c r="C16" s="156">
        <v>4444</v>
      </c>
      <c r="D16" s="157">
        <f>SUM(C16*100/C6)</f>
        <v>6.4362888509109872</v>
      </c>
      <c r="E16" s="158">
        <v>1963</v>
      </c>
      <c r="F16" s="254">
        <f>SUM(E16*100/E6)</f>
        <v>5.4394812680115274</v>
      </c>
      <c r="G16" s="156">
        <v>4508</v>
      </c>
      <c r="H16" s="157">
        <f>SUM(G16*100/G6)</f>
        <v>6.9285626460100822</v>
      </c>
      <c r="I16" s="158">
        <v>1974</v>
      </c>
      <c r="J16" s="465">
        <f>SUM(I16*100/I6)</f>
        <v>5.7881773399014778</v>
      </c>
      <c r="K16" s="110">
        <f t="shared" si="2"/>
        <v>64</v>
      </c>
      <c r="L16" s="187">
        <f t="shared" si="3"/>
        <v>1.4401440144014401</v>
      </c>
      <c r="M16" s="111">
        <f t="shared" si="0"/>
        <v>11</v>
      </c>
      <c r="N16" s="112">
        <f t="shared" si="1"/>
        <v>0.56036678553234842</v>
      </c>
      <c r="O16" s="409"/>
    </row>
    <row r="17" spans="2:16" ht="21" customHeight="1" thickBot="1" x14ac:dyDescent="0.3">
      <c r="B17" s="432" t="s">
        <v>366</v>
      </c>
      <c r="C17" s="160"/>
      <c r="D17" s="161"/>
      <c r="E17" s="160"/>
      <c r="F17" s="161"/>
      <c r="G17" s="160"/>
      <c r="H17" s="162"/>
      <c r="I17" s="160"/>
      <c r="J17" s="162"/>
      <c r="K17" s="162"/>
      <c r="L17" s="162"/>
      <c r="M17" s="162"/>
      <c r="N17" s="162"/>
      <c r="O17" s="162"/>
    </row>
    <row r="18" spans="2:16" ht="17.25" customHeight="1" x14ac:dyDescent="0.25">
      <c r="B18" s="968" t="s">
        <v>103</v>
      </c>
      <c r="C18" s="957" t="s">
        <v>412</v>
      </c>
      <c r="D18" s="958"/>
      <c r="E18" s="958"/>
      <c r="F18" s="959"/>
      <c r="G18" s="964" t="s">
        <v>486</v>
      </c>
      <c r="H18" s="965"/>
      <c r="I18" s="965"/>
      <c r="J18" s="966"/>
      <c r="K18" s="967" t="s">
        <v>109</v>
      </c>
      <c r="L18" s="958"/>
      <c r="M18" s="958"/>
      <c r="N18" s="959"/>
      <c r="O18" s="361"/>
    </row>
    <row r="19" spans="2:16" x14ac:dyDescent="0.25">
      <c r="B19" s="969"/>
      <c r="C19" s="960" t="s">
        <v>4</v>
      </c>
      <c r="D19" s="961"/>
      <c r="E19" s="962" t="s">
        <v>94</v>
      </c>
      <c r="F19" s="963"/>
      <c r="G19" s="973" t="s">
        <v>4</v>
      </c>
      <c r="H19" s="974"/>
      <c r="I19" s="975" t="s">
        <v>94</v>
      </c>
      <c r="J19" s="976"/>
      <c r="K19" s="971" t="s">
        <v>4</v>
      </c>
      <c r="L19" s="961"/>
      <c r="M19" s="962" t="s">
        <v>94</v>
      </c>
      <c r="N19" s="963"/>
      <c r="O19" s="419"/>
    </row>
    <row r="20" spans="2:16" ht="15.75" thickBot="1" x14ac:dyDescent="0.3">
      <c r="B20" s="970"/>
      <c r="C20" s="724" t="s">
        <v>107</v>
      </c>
      <c r="D20" s="725" t="s">
        <v>414</v>
      </c>
      <c r="E20" s="726" t="s">
        <v>107</v>
      </c>
      <c r="F20" s="725" t="s">
        <v>414</v>
      </c>
      <c r="G20" s="840" t="s">
        <v>107</v>
      </c>
      <c r="H20" s="841" t="s">
        <v>414</v>
      </c>
      <c r="I20" s="842" t="s">
        <v>107</v>
      </c>
      <c r="J20" s="843" t="s">
        <v>414</v>
      </c>
      <c r="K20" s="726" t="s">
        <v>107</v>
      </c>
      <c r="L20" s="725" t="s">
        <v>414</v>
      </c>
      <c r="M20" s="726" t="s">
        <v>107</v>
      </c>
      <c r="N20" s="727" t="s">
        <v>414</v>
      </c>
      <c r="O20" s="420"/>
    </row>
    <row r="21" spans="2:16" ht="18.75" x14ac:dyDescent="0.3">
      <c r="B21" s="259" t="s">
        <v>106</v>
      </c>
      <c r="C21" s="260">
        <v>69016</v>
      </c>
      <c r="D21" s="97">
        <v>100</v>
      </c>
      <c r="E21" s="47">
        <v>37256</v>
      </c>
      <c r="F21" s="98">
        <v>100</v>
      </c>
      <c r="G21" s="260">
        <f>SUM(G6)</f>
        <v>65064</v>
      </c>
      <c r="H21" s="97">
        <v>100</v>
      </c>
      <c r="I21" s="47">
        <f>SUM(I6)</f>
        <v>34104</v>
      </c>
      <c r="J21" s="98">
        <v>100</v>
      </c>
      <c r="K21" s="261">
        <f>G21-C21</f>
        <v>-3952</v>
      </c>
      <c r="L21" s="262">
        <f>K21/C21*100</f>
        <v>-5.7262084154398973</v>
      </c>
      <c r="M21" s="263">
        <f>I21-E21</f>
        <v>-3152</v>
      </c>
      <c r="N21" s="264">
        <f>M21/E21*100</f>
        <v>-8.4603822203135053</v>
      </c>
      <c r="O21" s="416"/>
    </row>
    <row r="22" spans="2:16" ht="15.75" thickBot="1" x14ac:dyDescent="0.3">
      <c r="B22" s="252" t="s">
        <v>228</v>
      </c>
      <c r="C22" s="3">
        <v>60291</v>
      </c>
      <c r="D22" s="249" t="s">
        <v>93</v>
      </c>
      <c r="E22" s="5">
        <v>33103</v>
      </c>
      <c r="F22" s="253" t="s">
        <v>93</v>
      </c>
      <c r="G22" s="3">
        <f>SUM(G7)</f>
        <v>55884</v>
      </c>
      <c r="H22" s="249" t="s">
        <v>93</v>
      </c>
      <c r="I22" s="5">
        <f>SUM(I7)</f>
        <v>29965</v>
      </c>
      <c r="J22" s="253" t="s">
        <v>93</v>
      </c>
      <c r="K22" s="110">
        <f>SUM(G22)-C22</f>
        <v>-4407</v>
      </c>
      <c r="L22" s="250">
        <f>K22/C22*100</f>
        <v>-7.3095486888590342</v>
      </c>
      <c r="M22" s="111">
        <f>SUM(I22)-E22</f>
        <v>-3138</v>
      </c>
      <c r="N22" s="251">
        <f>M22/E22*100</f>
        <v>-9.4795033682747789</v>
      </c>
      <c r="O22" s="417"/>
    </row>
    <row r="23" spans="2:16" ht="15.75" thickBot="1" x14ac:dyDescent="0.3">
      <c r="B23" s="728" t="s">
        <v>49</v>
      </c>
      <c r="C23" s="729"/>
      <c r="D23" s="730"/>
      <c r="E23" s="729"/>
      <c r="F23" s="730"/>
      <c r="G23" s="729"/>
      <c r="H23" s="730"/>
      <c r="I23" s="729"/>
      <c r="J23" s="730"/>
      <c r="K23" s="732"/>
      <c r="L23" s="733"/>
      <c r="M23" s="732"/>
      <c r="N23" s="734"/>
      <c r="O23" s="421"/>
    </row>
    <row r="24" spans="2:16" x14ac:dyDescent="0.25">
      <c r="B24" s="241" t="s">
        <v>230</v>
      </c>
      <c r="C24" s="242">
        <v>16579</v>
      </c>
      <c r="D24" s="245">
        <f>SUM(C24*100/C21)</f>
        <v>24.021965920945867</v>
      </c>
      <c r="E24" s="246">
        <v>9496</v>
      </c>
      <c r="F24" s="247">
        <f>SUM(E24*100/E21)</f>
        <v>25.488511917543484</v>
      </c>
      <c r="G24" s="242">
        <f t="shared" ref="G24:G31" si="4">SUM(G9)</f>
        <v>16211</v>
      </c>
      <c r="H24" s="255">
        <f>SUM(G24*100/G21)</f>
        <v>24.915467847042912</v>
      </c>
      <c r="I24" s="244">
        <f t="shared" ref="I24:I31" si="5">SUM(I9)</f>
        <v>9027</v>
      </c>
      <c r="J24" s="255">
        <f>SUM(I24*100/I21)</f>
        <v>26.469035890218155</v>
      </c>
      <c r="K24" s="248">
        <f>G24-C24</f>
        <v>-368</v>
      </c>
      <c r="L24" s="255">
        <f>K24/C24*100</f>
        <v>-2.2196754930936726</v>
      </c>
      <c r="M24" s="243">
        <f t="shared" ref="M24:M31" si="6">I24-E24</f>
        <v>-469</v>
      </c>
      <c r="N24" s="257">
        <f t="shared" ref="N24:N31" si="7">M24/E24*100</f>
        <v>-4.938921651221567</v>
      </c>
      <c r="O24" s="418"/>
      <c r="P24" s="373">
        <f>SUM(H24-D24)</f>
        <v>0.89350192609704493</v>
      </c>
    </row>
    <row r="25" spans="2:16" x14ac:dyDescent="0.25">
      <c r="B25" s="164" t="s">
        <v>229</v>
      </c>
      <c r="C25" s="150">
        <v>7826</v>
      </c>
      <c r="D25" s="146">
        <f>SUM(C25*100/C21)</f>
        <v>11.33939955952243</v>
      </c>
      <c r="E25" s="152">
        <v>4018</v>
      </c>
      <c r="F25" s="147">
        <f>SUM(E25*100/E21)</f>
        <v>10.784840025767661</v>
      </c>
      <c r="G25" s="150">
        <f t="shared" si="4"/>
        <v>8064</v>
      </c>
      <c r="H25" s="146">
        <f>SUM(G25*100/G21)</f>
        <v>12.393950571744744</v>
      </c>
      <c r="I25" s="151">
        <f t="shared" si="5"/>
        <v>4022</v>
      </c>
      <c r="J25" s="146">
        <f>SUM(I25*100/I21)</f>
        <v>11.793338024865118</v>
      </c>
      <c r="K25" s="107">
        <f t="shared" ref="K25:K31" si="8">G25-C25</f>
        <v>238</v>
      </c>
      <c r="L25" s="185">
        <f>K25/C25*100</f>
        <v>3.0411449016100178</v>
      </c>
      <c r="M25" s="108">
        <f t="shared" si="6"/>
        <v>4</v>
      </c>
      <c r="N25" s="106">
        <f t="shared" si="7"/>
        <v>9.9552015928322551E-2</v>
      </c>
      <c r="O25" s="409"/>
    </row>
    <row r="26" spans="2:16" x14ac:dyDescent="0.25">
      <c r="B26" s="149" t="s">
        <v>231</v>
      </c>
      <c r="C26" s="150">
        <v>42099</v>
      </c>
      <c r="D26" s="146">
        <f>SUM(C26*100/C21)</f>
        <v>60.998898806073953</v>
      </c>
      <c r="E26" s="152">
        <v>23832</v>
      </c>
      <c r="F26" s="147">
        <f>SUM(E26*100/E21)</f>
        <v>63.968219884045524</v>
      </c>
      <c r="G26" s="150">
        <f t="shared" si="4"/>
        <v>37173</v>
      </c>
      <c r="H26" s="146">
        <f>SUM(G26*100/G21)</f>
        <v>57.132976761342675</v>
      </c>
      <c r="I26" s="151">
        <f t="shared" si="5"/>
        <v>20781</v>
      </c>
      <c r="J26" s="146">
        <f>SUM(I26*100/I21)</f>
        <v>60.934201266713579</v>
      </c>
      <c r="K26" s="107">
        <f>G26-C26</f>
        <v>-4926</v>
      </c>
      <c r="L26" s="185">
        <f>K26/C26*100</f>
        <v>-11.700990522340197</v>
      </c>
      <c r="M26" s="108">
        <f t="shared" si="6"/>
        <v>-3051</v>
      </c>
      <c r="N26" s="106">
        <f t="shared" si="7"/>
        <v>-12.802114803625377</v>
      </c>
      <c r="O26" s="409"/>
      <c r="P26" s="373">
        <f>SUM(H26-D26)</f>
        <v>-3.8659220447312777</v>
      </c>
    </row>
    <row r="27" spans="2:16" x14ac:dyDescent="0.25">
      <c r="B27" s="149" t="s">
        <v>232</v>
      </c>
      <c r="C27" s="150">
        <v>17368</v>
      </c>
      <c r="D27" s="146">
        <f>SUM(C27*100/C21)</f>
        <v>25.165179088906921</v>
      </c>
      <c r="E27" s="152">
        <v>6597</v>
      </c>
      <c r="F27" s="147">
        <f>SUM(E27*100/E21)</f>
        <v>17.70721494524372</v>
      </c>
      <c r="G27" s="150">
        <f t="shared" si="4"/>
        <v>16174</v>
      </c>
      <c r="H27" s="146">
        <f>SUM(G27*100/G21)</f>
        <v>24.858600762326326</v>
      </c>
      <c r="I27" s="151">
        <f t="shared" si="5"/>
        <v>5976</v>
      </c>
      <c r="J27" s="146">
        <f>SUM(I27*100/I21)</f>
        <v>17.522871217452497</v>
      </c>
      <c r="K27" s="107">
        <f>G27-C27</f>
        <v>-1194</v>
      </c>
      <c r="L27" s="185">
        <f>K27/C27*100</f>
        <v>-6.8747121142330725</v>
      </c>
      <c r="M27" s="108">
        <f>I27-E27</f>
        <v>-621</v>
      </c>
      <c r="N27" s="106">
        <f>M27/E27*100</f>
        <v>-9.4133697135061389</v>
      </c>
      <c r="O27" s="409"/>
      <c r="P27" s="373">
        <f>SUM(H27-D27)</f>
        <v>-0.30657832658059547</v>
      </c>
    </row>
    <row r="28" spans="2:16" x14ac:dyDescent="0.25">
      <c r="B28" s="149" t="s">
        <v>233</v>
      </c>
      <c r="C28" s="153">
        <v>927</v>
      </c>
      <c r="D28" s="146">
        <f>SUM(C28*100/C21)</f>
        <v>1.3431668019010086</v>
      </c>
      <c r="E28" s="154">
        <v>519</v>
      </c>
      <c r="F28" s="147">
        <f>SUM(E28*100/E21)</f>
        <v>1.3930642044234485</v>
      </c>
      <c r="G28" s="150">
        <f t="shared" si="4"/>
        <v>863</v>
      </c>
      <c r="H28" s="256">
        <f>SUM(G28*100/G21)</f>
        <v>1.3263863273084961</v>
      </c>
      <c r="I28" s="151">
        <f t="shared" si="5"/>
        <v>478</v>
      </c>
      <c r="J28" s="256">
        <f>SUM(I28*100/I21)</f>
        <v>1.4015951208069435</v>
      </c>
      <c r="K28" s="148">
        <f t="shared" si="8"/>
        <v>-64</v>
      </c>
      <c r="L28" s="256">
        <f t="shared" ref="L28:L31" si="9">K28/C28*100</f>
        <v>-6.9039913700107869</v>
      </c>
      <c r="M28" s="145">
        <f t="shared" si="6"/>
        <v>-41</v>
      </c>
      <c r="N28" s="258">
        <f t="shared" si="7"/>
        <v>-7.8998073217726397</v>
      </c>
      <c r="O28" s="418"/>
      <c r="P28" s="373"/>
    </row>
    <row r="29" spans="2:16" x14ac:dyDescent="0.25">
      <c r="B29" s="149" t="s">
        <v>234</v>
      </c>
      <c r="C29" s="150">
        <v>13525</v>
      </c>
      <c r="D29" s="146">
        <f>SUM(C29*100/C21)</f>
        <v>19.596905065492059</v>
      </c>
      <c r="E29" s="152">
        <v>11618</v>
      </c>
      <c r="F29" s="147">
        <f>SUM(E29*100/E21)</f>
        <v>31.184238780330684</v>
      </c>
      <c r="G29" s="150">
        <f t="shared" si="4"/>
        <v>11967</v>
      </c>
      <c r="H29" s="256">
        <f>SUM(G29*100/G21)</f>
        <v>18.392659535226855</v>
      </c>
      <c r="I29" s="151">
        <f t="shared" si="5"/>
        <v>10199</v>
      </c>
      <c r="J29" s="256">
        <f>SUM(I29*100/I21)</f>
        <v>29.905582922824301</v>
      </c>
      <c r="K29" s="148">
        <f t="shared" si="8"/>
        <v>-1558</v>
      </c>
      <c r="L29" s="256">
        <f t="shared" si="9"/>
        <v>-11.519408502772643</v>
      </c>
      <c r="M29" s="145">
        <f t="shared" si="6"/>
        <v>-1419</v>
      </c>
      <c r="N29" s="258">
        <f t="shared" si="7"/>
        <v>-12.213806162850748</v>
      </c>
      <c r="O29" s="418"/>
    </row>
    <row r="30" spans="2:16" ht="17.25" customHeight="1" x14ac:dyDescent="0.25">
      <c r="B30" s="149" t="s">
        <v>235</v>
      </c>
      <c r="C30" s="150">
        <v>114</v>
      </c>
      <c r="D30" s="146">
        <f>SUM(C30*100/C21)</f>
        <v>0.16517908890692012</v>
      </c>
      <c r="E30" s="152">
        <v>78</v>
      </c>
      <c r="F30" s="147">
        <f>SUM(E30*100/E21)</f>
        <v>0.20936225037577841</v>
      </c>
      <c r="G30" s="150">
        <f t="shared" si="4"/>
        <v>111</v>
      </c>
      <c r="H30" s="256">
        <f>SUM(G30*100/G21)</f>
        <v>0.17060125414976024</v>
      </c>
      <c r="I30" s="151">
        <f t="shared" si="5"/>
        <v>78</v>
      </c>
      <c r="J30" s="256">
        <f>SUM(I30*100/I21)</f>
        <v>0.22871217452498241</v>
      </c>
      <c r="K30" s="148">
        <f t="shared" si="8"/>
        <v>-3</v>
      </c>
      <c r="L30" s="256">
        <f t="shared" si="9"/>
        <v>-2.6315789473684208</v>
      </c>
      <c r="M30" s="145">
        <f t="shared" si="6"/>
        <v>0</v>
      </c>
      <c r="N30" s="258">
        <f t="shared" si="7"/>
        <v>0</v>
      </c>
      <c r="O30" s="418"/>
    </row>
    <row r="31" spans="2:16" ht="15.75" thickBot="1" x14ac:dyDescent="0.3">
      <c r="B31" s="155" t="s">
        <v>236</v>
      </c>
      <c r="C31" s="156">
        <v>4359</v>
      </c>
      <c r="D31" s="157">
        <f>SUM(C31*100/C21)</f>
        <v>6.3159267416251303</v>
      </c>
      <c r="E31" s="159">
        <v>1987</v>
      </c>
      <c r="F31" s="254">
        <f>SUM(E31*100/E21)</f>
        <v>5.3333691217522006</v>
      </c>
      <c r="G31" s="156">
        <f t="shared" si="4"/>
        <v>4508</v>
      </c>
      <c r="H31" s="157">
        <f>SUM(G31*100/G21)</f>
        <v>6.9285626460100822</v>
      </c>
      <c r="I31" s="158">
        <f t="shared" si="5"/>
        <v>1974</v>
      </c>
      <c r="J31" s="157">
        <f>SUM(I31*100/I21)</f>
        <v>5.7881773399014778</v>
      </c>
      <c r="K31" s="109">
        <f t="shared" si="8"/>
        <v>149</v>
      </c>
      <c r="L31" s="187">
        <f t="shared" si="9"/>
        <v>3.4182151869694888</v>
      </c>
      <c r="M31" s="111">
        <f t="shared" si="6"/>
        <v>-13</v>
      </c>
      <c r="N31" s="112">
        <f t="shared" si="7"/>
        <v>-0.65425264217413193</v>
      </c>
      <c r="O31" s="409"/>
    </row>
  </sheetData>
  <mergeCells count="21">
    <mergeCell ref="B18:B20"/>
    <mergeCell ref="K4:L4"/>
    <mergeCell ref="M4:N4"/>
    <mergeCell ref="B1:N1"/>
    <mergeCell ref="B3:B5"/>
    <mergeCell ref="G3:J3"/>
    <mergeCell ref="C3:F3"/>
    <mergeCell ref="K3:N3"/>
    <mergeCell ref="G4:H4"/>
    <mergeCell ref="I4:J4"/>
    <mergeCell ref="C4:D4"/>
    <mergeCell ref="E4:F4"/>
    <mergeCell ref="G19:H19"/>
    <mergeCell ref="I19:J19"/>
    <mergeCell ref="K19:L19"/>
    <mergeCell ref="M19:N19"/>
    <mergeCell ref="C18:F18"/>
    <mergeCell ref="C19:D19"/>
    <mergeCell ref="E19:F19"/>
    <mergeCell ref="G18:J18"/>
    <mergeCell ref="K18:N18"/>
  </mergeCells>
  <pageMargins left="0.70866141732283472" right="0.70866141732283472" top="1.3779527559055118" bottom="0" header="0.31496062992125984" footer="0.31496062992125984"/>
  <pageSetup paperSize="9" scale="7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0.59999389629810485"/>
  </sheetPr>
  <dimension ref="B1:W37"/>
  <sheetViews>
    <sheetView zoomScale="90" zoomScaleNormal="90" zoomScaleSheetLayoutView="100" workbookViewId="0">
      <selection activeCell="B1" sqref="B1"/>
    </sheetView>
  </sheetViews>
  <sheetFormatPr defaultColWidth="9.140625" defaultRowHeight="15" x14ac:dyDescent="0.25"/>
  <cols>
    <col min="1" max="1" width="3.28515625" style="78" customWidth="1"/>
    <col min="2" max="2" width="23.42578125" style="78" customWidth="1"/>
    <col min="3" max="3" width="9.42578125" style="78" customWidth="1"/>
    <col min="4" max="4" width="9.28515625" style="78" customWidth="1"/>
    <col min="5" max="5" width="8.85546875" style="78" customWidth="1"/>
    <col min="6" max="6" width="9.140625" style="78"/>
    <col min="7" max="7" width="8.42578125" style="78" customWidth="1"/>
    <col min="8" max="8" width="8.28515625" style="78" customWidth="1"/>
    <col min="9" max="10" width="9.28515625" style="78" bestFit="1" customWidth="1"/>
    <col min="11" max="11" width="8" style="78" customWidth="1"/>
    <col min="12" max="13" width="9.140625" style="78"/>
    <col min="14" max="14" width="8.28515625" style="78" customWidth="1"/>
    <col min="15" max="15" width="9.140625" style="78"/>
    <col min="16" max="16" width="7.140625" style="78" customWidth="1"/>
    <col min="17" max="17" width="6.5703125" style="78" customWidth="1"/>
    <col min="18" max="18" width="7.140625" style="78" customWidth="1"/>
    <col min="19" max="16384" width="9.140625" style="78"/>
  </cols>
  <sheetData>
    <row r="1" spans="2:14" ht="12" customHeight="1" x14ac:dyDescent="0.25"/>
    <row r="2" spans="2:14" x14ac:dyDescent="0.25">
      <c r="B2" s="11" t="s">
        <v>373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2:14" x14ac:dyDescent="0.25">
      <c r="B3" s="11" t="s">
        <v>329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2:14" ht="14.25" customHeight="1" thickBot="1" x14ac:dyDescent="0.3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2:14" ht="17.25" customHeight="1" thickBot="1" x14ac:dyDescent="0.3">
      <c r="B5" s="931" t="s">
        <v>103</v>
      </c>
      <c r="C5" s="896" t="s">
        <v>486</v>
      </c>
      <c r="D5" s="897"/>
      <c r="E5" s="897"/>
      <c r="F5" s="897"/>
      <c r="G5" s="897"/>
      <c r="H5" s="897"/>
      <c r="I5" s="897"/>
      <c r="J5" s="897"/>
      <c r="K5" s="897"/>
      <c r="L5" s="897"/>
      <c r="M5" s="897"/>
      <c r="N5" s="898"/>
    </row>
    <row r="6" spans="2:14" ht="21" customHeight="1" x14ac:dyDescent="0.25">
      <c r="B6" s="989"/>
      <c r="C6" s="903" t="s">
        <v>106</v>
      </c>
      <c r="D6" s="929"/>
      <c r="E6" s="904"/>
      <c r="F6" s="903" t="s">
        <v>237</v>
      </c>
      <c r="G6" s="929"/>
      <c r="H6" s="929"/>
      <c r="I6" s="929"/>
      <c r="J6" s="929"/>
      <c r="K6" s="929"/>
      <c r="L6" s="929"/>
      <c r="M6" s="929"/>
      <c r="N6" s="904"/>
    </row>
    <row r="7" spans="2:14" ht="17.25" customHeight="1" thickBot="1" x14ac:dyDescent="0.3">
      <c r="B7" s="989"/>
      <c r="C7" s="990"/>
      <c r="D7" s="991"/>
      <c r="E7" s="992"/>
      <c r="F7" s="980" t="s">
        <v>156</v>
      </c>
      <c r="G7" s="977"/>
      <c r="H7" s="977"/>
      <c r="I7" s="977" t="s">
        <v>95</v>
      </c>
      <c r="J7" s="977"/>
      <c r="K7" s="977"/>
      <c r="L7" s="977" t="s">
        <v>157</v>
      </c>
      <c r="M7" s="977"/>
      <c r="N7" s="978"/>
    </row>
    <row r="8" spans="2:14" ht="18" customHeight="1" x14ac:dyDescent="0.25">
      <c r="B8" s="989"/>
      <c r="C8" s="979" t="s">
        <v>4</v>
      </c>
      <c r="D8" s="981" t="s">
        <v>94</v>
      </c>
      <c r="E8" s="982"/>
      <c r="F8" s="911" t="s">
        <v>4</v>
      </c>
      <c r="G8" s="958" t="s">
        <v>94</v>
      </c>
      <c r="H8" s="958"/>
      <c r="I8" s="958" t="s">
        <v>4</v>
      </c>
      <c r="J8" s="958" t="s">
        <v>94</v>
      </c>
      <c r="K8" s="958"/>
      <c r="L8" s="984" t="s">
        <v>4</v>
      </c>
      <c r="M8" s="986" t="s">
        <v>94</v>
      </c>
      <c r="N8" s="987"/>
    </row>
    <row r="9" spans="2:14" ht="15.75" thickBot="1" x14ac:dyDescent="0.3">
      <c r="B9" s="944"/>
      <c r="C9" s="980"/>
      <c r="D9" s="735" t="s">
        <v>107</v>
      </c>
      <c r="E9" s="581" t="s">
        <v>414</v>
      </c>
      <c r="F9" s="913"/>
      <c r="G9" s="735" t="s">
        <v>107</v>
      </c>
      <c r="H9" s="735" t="s">
        <v>414</v>
      </c>
      <c r="I9" s="977"/>
      <c r="J9" s="735" t="s">
        <v>107</v>
      </c>
      <c r="K9" s="735" t="s">
        <v>414</v>
      </c>
      <c r="L9" s="985"/>
      <c r="M9" s="735" t="s">
        <v>107</v>
      </c>
      <c r="N9" s="581" t="s">
        <v>414</v>
      </c>
    </row>
    <row r="10" spans="2:14" ht="26.25" customHeight="1" thickBot="1" x14ac:dyDescent="0.3">
      <c r="B10" s="268" t="s">
        <v>14</v>
      </c>
      <c r="C10" s="269">
        <f>SUM(C11:C35)</f>
        <v>65064</v>
      </c>
      <c r="D10" s="270">
        <f>SUM(D11:D35)</f>
        <v>34104</v>
      </c>
      <c r="E10" s="271">
        <f>D10/C10*100</f>
        <v>52.416082626337143</v>
      </c>
      <c r="F10" s="269">
        <f>SUM(F11:F35)</f>
        <v>16211</v>
      </c>
      <c r="G10" s="270">
        <f>SUM(G11:G35)</f>
        <v>9027</v>
      </c>
      <c r="H10" s="294">
        <f>G10/F10*100</f>
        <v>55.684411819135157</v>
      </c>
      <c r="I10" s="270">
        <f>SUM(I11:I35)</f>
        <v>32679</v>
      </c>
      <c r="J10" s="270">
        <f>SUM(J11:J35)</f>
        <v>19101</v>
      </c>
      <c r="K10" s="294">
        <f>J10/I10*100</f>
        <v>58.45038097861012</v>
      </c>
      <c r="L10" s="270">
        <f>SUM(L11:L35)</f>
        <v>16174</v>
      </c>
      <c r="M10" s="270">
        <f>SUM(M11:M35)</f>
        <v>5976</v>
      </c>
      <c r="N10" s="271">
        <f>M10/L10*100</f>
        <v>36.94818845059973</v>
      </c>
    </row>
    <row r="11" spans="2:14" ht="15.75" thickTop="1" x14ac:dyDescent="0.25">
      <c r="B11" s="176" t="s">
        <v>15</v>
      </c>
      <c r="C11" s="180">
        <v>984</v>
      </c>
      <c r="D11" s="181">
        <v>482</v>
      </c>
      <c r="E11" s="55">
        <f>D11/C11*100</f>
        <v>48.983739837398375</v>
      </c>
      <c r="F11" s="180">
        <v>242</v>
      </c>
      <c r="G11" s="181">
        <v>130</v>
      </c>
      <c r="H11" s="265">
        <f>G11/F11*100</f>
        <v>53.719008264462808</v>
      </c>
      <c r="I11" s="181">
        <f>SUM(C11)-(F11+L11)</f>
        <v>494</v>
      </c>
      <c r="J11" s="181">
        <f>SUM(D11)-(G11+M11)</f>
        <v>264</v>
      </c>
      <c r="K11" s="265">
        <f>J11/I11*100</f>
        <v>53.441295546558706</v>
      </c>
      <c r="L11" s="181">
        <v>248</v>
      </c>
      <c r="M11" s="181">
        <v>88</v>
      </c>
      <c r="N11" s="55">
        <f t="shared" ref="N11:N35" si="0">M11/L11*100</f>
        <v>35.483870967741936</v>
      </c>
    </row>
    <row r="12" spans="2:14" x14ac:dyDescent="0.25">
      <c r="B12" s="177" t="s">
        <v>16</v>
      </c>
      <c r="C12" s="51">
        <v>3561</v>
      </c>
      <c r="D12" s="9">
        <v>1886</v>
      </c>
      <c r="E12" s="7">
        <f>D12/C12*100</f>
        <v>52.962650940746983</v>
      </c>
      <c r="F12" s="51">
        <v>888</v>
      </c>
      <c r="G12" s="9">
        <v>452</v>
      </c>
      <c r="H12" s="10">
        <f>G12/F12*100</f>
        <v>50.900900900900901</v>
      </c>
      <c r="I12" s="9">
        <f>SUM(C12)-(F12+L12)</f>
        <v>1767</v>
      </c>
      <c r="J12" s="9">
        <f t="shared" ref="J12:J35" si="1">SUM(D12)-(G12+M12)</f>
        <v>1047</v>
      </c>
      <c r="K12" s="10">
        <f t="shared" ref="K12:K35" si="2">J12/I12*100</f>
        <v>59.252971137521229</v>
      </c>
      <c r="L12" s="9">
        <v>906</v>
      </c>
      <c r="M12" s="9">
        <v>387</v>
      </c>
      <c r="N12" s="7">
        <f t="shared" si="0"/>
        <v>42.715231788079471</v>
      </c>
    </row>
    <row r="13" spans="2:14" x14ac:dyDescent="0.25">
      <c r="B13" s="177" t="s">
        <v>17</v>
      </c>
      <c r="C13" s="51">
        <v>2393</v>
      </c>
      <c r="D13" s="9">
        <v>1438</v>
      </c>
      <c r="E13" s="7">
        <f t="shared" ref="E13:E35" si="3">D13/C13*100</f>
        <v>60.091934809862103</v>
      </c>
      <c r="F13" s="51">
        <v>662</v>
      </c>
      <c r="G13" s="9">
        <v>414</v>
      </c>
      <c r="H13" s="10">
        <f>G13/F13*100</f>
        <v>62.537764350453173</v>
      </c>
      <c r="I13" s="9">
        <f>SUM(C13)-(F13+L13)</f>
        <v>1150</v>
      </c>
      <c r="J13" s="9">
        <f t="shared" si="1"/>
        <v>779</v>
      </c>
      <c r="K13" s="10">
        <f t="shared" si="2"/>
        <v>67.739130434782609</v>
      </c>
      <c r="L13" s="9">
        <v>581</v>
      </c>
      <c r="M13" s="9">
        <v>245</v>
      </c>
      <c r="N13" s="7">
        <f t="shared" si="0"/>
        <v>42.168674698795186</v>
      </c>
    </row>
    <row r="14" spans="2:14" x14ac:dyDescent="0.25">
      <c r="B14" s="177" t="s">
        <v>18</v>
      </c>
      <c r="C14" s="51">
        <v>4248</v>
      </c>
      <c r="D14" s="9">
        <v>2245</v>
      </c>
      <c r="E14" s="7">
        <f t="shared" si="3"/>
        <v>52.848399246704339</v>
      </c>
      <c r="F14" s="51">
        <v>1061</v>
      </c>
      <c r="G14" s="9">
        <v>618</v>
      </c>
      <c r="H14" s="10">
        <f>G14/F14*100</f>
        <v>58.246936852026387</v>
      </c>
      <c r="I14" s="9">
        <f t="shared" ref="I14:I35" si="4">SUM(C14)-(F14+L14)</f>
        <v>2141</v>
      </c>
      <c r="J14" s="9">
        <f t="shared" si="1"/>
        <v>1266</v>
      </c>
      <c r="K14" s="10">
        <f t="shared" si="2"/>
        <v>59.131247080803362</v>
      </c>
      <c r="L14" s="9">
        <v>1046</v>
      </c>
      <c r="M14" s="9">
        <v>361</v>
      </c>
      <c r="N14" s="7">
        <f t="shared" si="0"/>
        <v>34.512428298279154</v>
      </c>
    </row>
    <row r="15" spans="2:14" x14ac:dyDescent="0.25">
      <c r="B15" s="177" t="s">
        <v>19</v>
      </c>
      <c r="C15" s="51">
        <v>4686</v>
      </c>
      <c r="D15" s="9">
        <v>2696</v>
      </c>
      <c r="E15" s="7">
        <f t="shared" si="3"/>
        <v>57.533077251387112</v>
      </c>
      <c r="F15" s="51">
        <v>1156</v>
      </c>
      <c r="G15" s="9">
        <v>683</v>
      </c>
      <c r="H15" s="10">
        <f t="shared" ref="H15:H33" si="5">G15/F15*100</f>
        <v>59.083044982698965</v>
      </c>
      <c r="I15" s="9">
        <f t="shared" si="4"/>
        <v>2438</v>
      </c>
      <c r="J15" s="9">
        <f t="shared" si="1"/>
        <v>1535</v>
      </c>
      <c r="K15" s="10">
        <f t="shared" si="2"/>
        <v>62.961443806398684</v>
      </c>
      <c r="L15" s="9">
        <v>1092</v>
      </c>
      <c r="M15" s="9">
        <v>478</v>
      </c>
      <c r="N15" s="7">
        <f>M15/L15*100</f>
        <v>43.772893772893774</v>
      </c>
    </row>
    <row r="16" spans="2:14" x14ac:dyDescent="0.25">
      <c r="B16" s="177" t="s">
        <v>20</v>
      </c>
      <c r="C16" s="51">
        <v>1519</v>
      </c>
      <c r="D16" s="9">
        <v>771</v>
      </c>
      <c r="E16" s="7">
        <f t="shared" si="3"/>
        <v>50.757077024358132</v>
      </c>
      <c r="F16" s="51">
        <v>441</v>
      </c>
      <c r="G16" s="9">
        <v>238</v>
      </c>
      <c r="H16" s="10">
        <f t="shared" si="5"/>
        <v>53.968253968253968</v>
      </c>
      <c r="I16" s="9">
        <f t="shared" si="4"/>
        <v>679</v>
      </c>
      <c r="J16" s="9">
        <f t="shared" si="1"/>
        <v>406</v>
      </c>
      <c r="K16" s="10">
        <f>J16/I16*100</f>
        <v>59.793814432989691</v>
      </c>
      <c r="L16" s="9">
        <v>399</v>
      </c>
      <c r="M16" s="9">
        <v>127</v>
      </c>
      <c r="N16" s="7">
        <f t="shared" si="0"/>
        <v>31.829573934837089</v>
      </c>
    </row>
    <row r="17" spans="2:23" x14ac:dyDescent="0.25">
      <c r="B17" s="177" t="s">
        <v>21</v>
      </c>
      <c r="C17" s="51">
        <v>2076</v>
      </c>
      <c r="D17" s="9">
        <v>1128</v>
      </c>
      <c r="E17" s="7">
        <f>D17/C17*100</f>
        <v>54.335260115606928</v>
      </c>
      <c r="F17" s="51">
        <v>511</v>
      </c>
      <c r="G17" s="9">
        <v>301</v>
      </c>
      <c r="H17" s="10">
        <f t="shared" si="5"/>
        <v>58.904109589041099</v>
      </c>
      <c r="I17" s="9">
        <f t="shared" si="4"/>
        <v>1007</v>
      </c>
      <c r="J17" s="9">
        <f t="shared" si="1"/>
        <v>610</v>
      </c>
      <c r="K17" s="10">
        <f t="shared" si="2"/>
        <v>60.575968222442903</v>
      </c>
      <c r="L17" s="9">
        <v>558</v>
      </c>
      <c r="M17" s="9">
        <v>217</v>
      </c>
      <c r="N17" s="7">
        <f>M17/L17*100</f>
        <v>38.888888888888893</v>
      </c>
    </row>
    <row r="18" spans="2:23" x14ac:dyDescent="0.25">
      <c r="B18" s="177" t="s">
        <v>22</v>
      </c>
      <c r="C18" s="51">
        <v>1571</v>
      </c>
      <c r="D18" s="9">
        <v>740</v>
      </c>
      <c r="E18" s="7">
        <f t="shared" si="3"/>
        <v>47.10375556970083</v>
      </c>
      <c r="F18" s="51">
        <v>405</v>
      </c>
      <c r="G18" s="9">
        <v>212</v>
      </c>
      <c r="H18" s="10">
        <f>G18/F18*100</f>
        <v>52.345679012345684</v>
      </c>
      <c r="I18" s="9">
        <f t="shared" si="4"/>
        <v>773</v>
      </c>
      <c r="J18" s="9">
        <f t="shared" si="1"/>
        <v>392</v>
      </c>
      <c r="K18" s="10">
        <f t="shared" si="2"/>
        <v>50.711513583441139</v>
      </c>
      <c r="L18" s="9">
        <v>393</v>
      </c>
      <c r="M18" s="9">
        <v>136</v>
      </c>
      <c r="N18" s="7">
        <f>M18/L18*100</f>
        <v>34.605597964376585</v>
      </c>
    </row>
    <row r="19" spans="2:23" x14ac:dyDescent="0.25">
      <c r="B19" s="177" t="s">
        <v>23</v>
      </c>
      <c r="C19" s="51">
        <v>2898</v>
      </c>
      <c r="D19" s="9">
        <v>1542</v>
      </c>
      <c r="E19" s="7">
        <f t="shared" si="3"/>
        <v>53.209109730848859</v>
      </c>
      <c r="F19" s="51">
        <v>800</v>
      </c>
      <c r="G19" s="9">
        <v>437</v>
      </c>
      <c r="H19" s="10">
        <f t="shared" si="5"/>
        <v>54.625</v>
      </c>
      <c r="I19" s="9">
        <f t="shared" si="4"/>
        <v>1438</v>
      </c>
      <c r="J19" s="9">
        <f t="shared" si="1"/>
        <v>862</v>
      </c>
      <c r="K19" s="10">
        <f>J19/I19*100</f>
        <v>59.944367176634216</v>
      </c>
      <c r="L19" s="9">
        <v>660</v>
      </c>
      <c r="M19" s="9">
        <v>243</v>
      </c>
      <c r="N19" s="7">
        <f>M19/L19*100</f>
        <v>36.818181818181813</v>
      </c>
      <c r="U19" s="448" t="s">
        <v>569</v>
      </c>
      <c r="V19" s="433"/>
      <c r="W19" s="433"/>
    </row>
    <row r="20" spans="2:23" x14ac:dyDescent="0.25">
      <c r="B20" s="177" t="s">
        <v>24</v>
      </c>
      <c r="C20" s="51">
        <v>1573</v>
      </c>
      <c r="D20" s="9">
        <v>720</v>
      </c>
      <c r="E20" s="7">
        <f t="shared" si="3"/>
        <v>45.772409408773044</v>
      </c>
      <c r="F20" s="51">
        <v>415</v>
      </c>
      <c r="G20" s="9">
        <v>239</v>
      </c>
      <c r="H20" s="10">
        <f t="shared" si="5"/>
        <v>57.590361445783131</v>
      </c>
      <c r="I20" s="9">
        <f t="shared" si="4"/>
        <v>700</v>
      </c>
      <c r="J20" s="9">
        <f t="shared" si="1"/>
        <v>339</v>
      </c>
      <c r="K20" s="10">
        <f t="shared" si="2"/>
        <v>48.428571428571423</v>
      </c>
      <c r="L20" s="9">
        <v>458</v>
      </c>
      <c r="M20" s="9">
        <v>142</v>
      </c>
      <c r="N20" s="7">
        <f>M20/L20*100</f>
        <v>31.004366812227076</v>
      </c>
      <c r="U20" s="449" t="s">
        <v>341</v>
      </c>
      <c r="V20" s="435">
        <f>SUM(F10)</f>
        <v>16211</v>
      </c>
      <c r="W20" s="436">
        <f>SUM(V20/C10)*100</f>
        <v>24.915467847042912</v>
      </c>
    </row>
    <row r="21" spans="2:23" x14ac:dyDescent="0.25">
      <c r="B21" s="177" t="s">
        <v>25</v>
      </c>
      <c r="C21" s="51">
        <v>2476</v>
      </c>
      <c r="D21" s="9">
        <v>1238</v>
      </c>
      <c r="E21" s="7">
        <f t="shared" si="3"/>
        <v>50</v>
      </c>
      <c r="F21" s="51">
        <v>684</v>
      </c>
      <c r="G21" s="9">
        <v>350</v>
      </c>
      <c r="H21" s="10">
        <f>G21/F21*100</f>
        <v>51.169590643274852</v>
      </c>
      <c r="I21" s="9">
        <f t="shared" si="4"/>
        <v>1230</v>
      </c>
      <c r="J21" s="9">
        <f t="shared" si="1"/>
        <v>703</v>
      </c>
      <c r="K21" s="10">
        <f t="shared" si="2"/>
        <v>57.154471544715449</v>
      </c>
      <c r="L21" s="9">
        <v>562</v>
      </c>
      <c r="M21" s="9">
        <v>185</v>
      </c>
      <c r="N21" s="7">
        <f t="shared" si="0"/>
        <v>32.918149466192169</v>
      </c>
      <c r="U21" s="736" t="s">
        <v>342</v>
      </c>
      <c r="V21" s="737">
        <f>SUM(I10)</f>
        <v>32679</v>
      </c>
      <c r="W21" s="738">
        <f>SUM(V21/C10)*100</f>
        <v>50.225931390630763</v>
      </c>
    </row>
    <row r="22" spans="2:23" x14ac:dyDescent="0.25">
      <c r="B22" s="177" t="s">
        <v>26</v>
      </c>
      <c r="C22" s="51">
        <v>2784</v>
      </c>
      <c r="D22" s="9">
        <v>1425</v>
      </c>
      <c r="E22" s="7">
        <f t="shared" si="3"/>
        <v>51.185344827586206</v>
      </c>
      <c r="F22" s="51">
        <v>735</v>
      </c>
      <c r="G22" s="9">
        <v>402</v>
      </c>
      <c r="H22" s="10">
        <f t="shared" si="5"/>
        <v>54.693877551020407</v>
      </c>
      <c r="I22" s="9">
        <f t="shared" si="4"/>
        <v>1344</v>
      </c>
      <c r="J22" s="9">
        <f t="shared" si="1"/>
        <v>774</v>
      </c>
      <c r="K22" s="10">
        <f t="shared" si="2"/>
        <v>57.589285714285708</v>
      </c>
      <c r="L22" s="9">
        <v>705</v>
      </c>
      <c r="M22" s="9">
        <v>249</v>
      </c>
      <c r="N22" s="7">
        <f t="shared" si="0"/>
        <v>35.319148936170215</v>
      </c>
      <c r="U22" s="449" t="s">
        <v>343</v>
      </c>
      <c r="V22" s="435">
        <f>SUM(L10)</f>
        <v>16174</v>
      </c>
      <c r="W22" s="436">
        <f>SUM(V22/C10)*100</f>
        <v>24.858600762326326</v>
      </c>
    </row>
    <row r="23" spans="2:23" x14ac:dyDescent="0.25">
      <c r="B23" s="177" t="s">
        <v>27</v>
      </c>
      <c r="C23" s="51">
        <v>3009</v>
      </c>
      <c r="D23" s="9">
        <v>1548</v>
      </c>
      <c r="E23" s="7">
        <f t="shared" si="3"/>
        <v>51.445663010967102</v>
      </c>
      <c r="F23" s="51">
        <v>784</v>
      </c>
      <c r="G23" s="9">
        <v>422</v>
      </c>
      <c r="H23" s="10">
        <f t="shared" si="5"/>
        <v>53.826530612244895</v>
      </c>
      <c r="I23" s="9">
        <f t="shared" si="4"/>
        <v>1487</v>
      </c>
      <c r="J23" s="9">
        <f t="shared" si="1"/>
        <v>846</v>
      </c>
      <c r="K23" s="10">
        <f t="shared" si="2"/>
        <v>56.893073301950238</v>
      </c>
      <c r="L23" s="9">
        <v>738</v>
      </c>
      <c r="M23" s="9">
        <v>280</v>
      </c>
      <c r="N23" s="7">
        <f t="shared" si="0"/>
        <v>37.94037940379404</v>
      </c>
      <c r="U23" s="434"/>
      <c r="V23" s="435">
        <f>SUM(V20:V22)</f>
        <v>65064</v>
      </c>
      <c r="W23" s="436">
        <f>SUM(W20:W22)</f>
        <v>100</v>
      </c>
    </row>
    <row r="24" spans="2:23" x14ac:dyDescent="0.25">
      <c r="B24" s="178" t="s">
        <v>28</v>
      </c>
      <c r="C24" s="107">
        <v>2794</v>
      </c>
      <c r="D24" s="108">
        <v>1448</v>
      </c>
      <c r="E24" s="7">
        <f t="shared" si="3"/>
        <v>51.825340014316389</v>
      </c>
      <c r="F24" s="107">
        <v>706</v>
      </c>
      <c r="G24" s="108">
        <v>407</v>
      </c>
      <c r="H24" s="10">
        <f t="shared" si="5"/>
        <v>57.648725212464591</v>
      </c>
      <c r="I24" s="108">
        <f t="shared" si="4"/>
        <v>1391</v>
      </c>
      <c r="J24" s="108">
        <f t="shared" si="1"/>
        <v>798</v>
      </c>
      <c r="K24" s="10">
        <f t="shared" si="2"/>
        <v>57.368799424874197</v>
      </c>
      <c r="L24" s="108">
        <v>697</v>
      </c>
      <c r="M24" s="108">
        <v>243</v>
      </c>
      <c r="N24" s="7">
        <f t="shared" si="0"/>
        <v>34.863701578192249</v>
      </c>
    </row>
    <row r="25" spans="2:23" x14ac:dyDescent="0.25">
      <c r="B25" s="178" t="s">
        <v>29</v>
      </c>
      <c r="C25" s="107">
        <v>3149</v>
      </c>
      <c r="D25" s="108">
        <v>1720</v>
      </c>
      <c r="E25" s="7">
        <f t="shared" si="3"/>
        <v>54.620514449031447</v>
      </c>
      <c r="F25" s="107">
        <v>852</v>
      </c>
      <c r="G25" s="108">
        <v>482</v>
      </c>
      <c r="H25" s="10">
        <f>G25/F25*100</f>
        <v>56.57276995305164</v>
      </c>
      <c r="I25" s="108">
        <f t="shared" si="4"/>
        <v>1640</v>
      </c>
      <c r="J25" s="108">
        <f t="shared" si="1"/>
        <v>998</v>
      </c>
      <c r="K25" s="10">
        <f t="shared" si="2"/>
        <v>60.853658536585364</v>
      </c>
      <c r="L25" s="108">
        <v>657</v>
      </c>
      <c r="M25" s="108">
        <v>240</v>
      </c>
      <c r="N25" s="7">
        <f t="shared" si="0"/>
        <v>36.529680365296798</v>
      </c>
    </row>
    <row r="26" spans="2:23" x14ac:dyDescent="0.25">
      <c r="B26" s="178" t="s">
        <v>30</v>
      </c>
      <c r="C26" s="107">
        <v>2559</v>
      </c>
      <c r="D26" s="108">
        <v>1390</v>
      </c>
      <c r="E26" s="7">
        <f t="shared" si="3"/>
        <v>54.318093005080115</v>
      </c>
      <c r="F26" s="107">
        <v>746</v>
      </c>
      <c r="G26" s="108">
        <v>424</v>
      </c>
      <c r="H26" s="10">
        <f t="shared" si="5"/>
        <v>56.836461126005368</v>
      </c>
      <c r="I26" s="108">
        <f t="shared" si="4"/>
        <v>1246</v>
      </c>
      <c r="J26" s="108">
        <f t="shared" si="1"/>
        <v>758</v>
      </c>
      <c r="K26" s="10">
        <f t="shared" si="2"/>
        <v>60.834670947030503</v>
      </c>
      <c r="L26" s="108">
        <v>567</v>
      </c>
      <c r="M26" s="108">
        <v>208</v>
      </c>
      <c r="N26" s="7">
        <f t="shared" si="0"/>
        <v>36.684303350970012</v>
      </c>
    </row>
    <row r="27" spans="2:23" x14ac:dyDescent="0.25">
      <c r="B27" s="178" t="s">
        <v>31</v>
      </c>
      <c r="C27" s="107">
        <v>4595</v>
      </c>
      <c r="D27" s="108">
        <v>2293</v>
      </c>
      <c r="E27" s="7">
        <f t="shared" si="3"/>
        <v>49.902067464635472</v>
      </c>
      <c r="F27" s="107">
        <v>1153</v>
      </c>
      <c r="G27" s="108">
        <v>623</v>
      </c>
      <c r="H27" s="10">
        <f t="shared" si="5"/>
        <v>54.032957502168259</v>
      </c>
      <c r="I27" s="108">
        <f t="shared" si="4"/>
        <v>2312</v>
      </c>
      <c r="J27" s="108">
        <f t="shared" si="1"/>
        <v>1314</v>
      </c>
      <c r="K27" s="10">
        <f t="shared" si="2"/>
        <v>56.833910034602077</v>
      </c>
      <c r="L27" s="108">
        <v>1130</v>
      </c>
      <c r="M27" s="108">
        <v>356</v>
      </c>
      <c r="N27" s="7">
        <f t="shared" si="0"/>
        <v>31.504424778761063</v>
      </c>
    </row>
    <row r="28" spans="2:23" x14ac:dyDescent="0.25">
      <c r="B28" s="178" t="s">
        <v>32</v>
      </c>
      <c r="C28" s="107">
        <v>2644</v>
      </c>
      <c r="D28" s="108">
        <v>1342</v>
      </c>
      <c r="E28" s="7">
        <f t="shared" si="3"/>
        <v>50.756429652042357</v>
      </c>
      <c r="F28" s="107">
        <v>676</v>
      </c>
      <c r="G28" s="108">
        <v>386</v>
      </c>
      <c r="H28" s="10">
        <f>G28/F28*100</f>
        <v>57.100591715976336</v>
      </c>
      <c r="I28" s="108">
        <f t="shared" si="4"/>
        <v>1351</v>
      </c>
      <c r="J28" s="108">
        <f t="shared" si="1"/>
        <v>744</v>
      </c>
      <c r="K28" s="10">
        <f t="shared" si="2"/>
        <v>55.070318282753519</v>
      </c>
      <c r="L28" s="108">
        <v>617</v>
      </c>
      <c r="M28" s="108">
        <v>212</v>
      </c>
      <c r="N28" s="7">
        <f t="shared" si="0"/>
        <v>34.359805510534848</v>
      </c>
    </row>
    <row r="29" spans="2:23" x14ac:dyDescent="0.25">
      <c r="B29" s="178" t="s">
        <v>33</v>
      </c>
      <c r="C29" s="107">
        <v>1853</v>
      </c>
      <c r="D29" s="108">
        <v>988</v>
      </c>
      <c r="E29" s="7">
        <f t="shared" si="3"/>
        <v>53.318942255801403</v>
      </c>
      <c r="F29" s="107">
        <v>485</v>
      </c>
      <c r="G29" s="108">
        <v>289</v>
      </c>
      <c r="H29" s="10">
        <f t="shared" si="5"/>
        <v>59.587628865979383</v>
      </c>
      <c r="I29" s="108">
        <f t="shared" si="4"/>
        <v>880</v>
      </c>
      <c r="J29" s="108">
        <f t="shared" si="1"/>
        <v>506</v>
      </c>
      <c r="K29" s="10">
        <f t="shared" si="2"/>
        <v>57.499999999999993</v>
      </c>
      <c r="L29" s="108">
        <v>488</v>
      </c>
      <c r="M29" s="108">
        <v>193</v>
      </c>
      <c r="N29" s="7">
        <f t="shared" si="0"/>
        <v>39.549180327868854</v>
      </c>
    </row>
    <row r="30" spans="2:23" x14ac:dyDescent="0.25">
      <c r="B30" s="178" t="s">
        <v>34</v>
      </c>
      <c r="C30" s="107">
        <v>3020</v>
      </c>
      <c r="D30" s="108">
        <v>1594</v>
      </c>
      <c r="E30" s="7">
        <f t="shared" si="3"/>
        <v>52.781456953642383</v>
      </c>
      <c r="F30" s="107">
        <v>795</v>
      </c>
      <c r="G30" s="108">
        <v>410</v>
      </c>
      <c r="H30" s="10">
        <f t="shared" si="5"/>
        <v>51.572327044025158</v>
      </c>
      <c r="I30" s="108">
        <f t="shared" si="4"/>
        <v>1500</v>
      </c>
      <c r="J30" s="108">
        <f t="shared" si="1"/>
        <v>914</v>
      </c>
      <c r="K30" s="10">
        <f t="shared" si="2"/>
        <v>60.93333333333333</v>
      </c>
      <c r="L30" s="108">
        <v>725</v>
      </c>
      <c r="M30" s="108">
        <v>270</v>
      </c>
      <c r="N30" s="7">
        <f t="shared" si="0"/>
        <v>37.241379310344833</v>
      </c>
    </row>
    <row r="31" spans="2:23" x14ac:dyDescent="0.25">
      <c r="B31" s="178" t="s">
        <v>35</v>
      </c>
      <c r="C31" s="107">
        <v>1209</v>
      </c>
      <c r="D31" s="108">
        <v>654</v>
      </c>
      <c r="E31" s="7">
        <f t="shared" si="3"/>
        <v>54.09429280397022</v>
      </c>
      <c r="F31" s="107">
        <v>301</v>
      </c>
      <c r="G31" s="108">
        <v>180</v>
      </c>
      <c r="H31" s="10">
        <f t="shared" si="5"/>
        <v>59.800664451827245</v>
      </c>
      <c r="I31" s="108">
        <f t="shared" si="4"/>
        <v>565</v>
      </c>
      <c r="J31" s="108">
        <f t="shared" si="1"/>
        <v>360</v>
      </c>
      <c r="K31" s="10">
        <f t="shared" si="2"/>
        <v>63.716814159292035</v>
      </c>
      <c r="L31" s="108">
        <v>343</v>
      </c>
      <c r="M31" s="108">
        <v>114</v>
      </c>
      <c r="N31" s="7">
        <f t="shared" si="0"/>
        <v>33.236151603498541</v>
      </c>
    </row>
    <row r="32" spans="2:23" x14ac:dyDescent="0.25">
      <c r="B32" s="178" t="s">
        <v>36</v>
      </c>
      <c r="C32" s="107">
        <v>725</v>
      </c>
      <c r="D32" s="108">
        <v>396</v>
      </c>
      <c r="E32" s="7">
        <f t="shared" si="3"/>
        <v>54.620689655172413</v>
      </c>
      <c r="F32" s="107">
        <v>123</v>
      </c>
      <c r="G32" s="108">
        <v>68</v>
      </c>
      <c r="H32" s="10">
        <f>G32/F32*100</f>
        <v>55.284552845528459</v>
      </c>
      <c r="I32" s="108">
        <f t="shared" si="4"/>
        <v>427</v>
      </c>
      <c r="J32" s="108">
        <f t="shared" si="1"/>
        <v>255</v>
      </c>
      <c r="K32" s="10">
        <f t="shared" si="2"/>
        <v>59.71896955503513</v>
      </c>
      <c r="L32" s="108">
        <v>175</v>
      </c>
      <c r="M32" s="108">
        <v>73</v>
      </c>
      <c r="N32" s="7">
        <f t="shared" si="0"/>
        <v>41.714285714285715</v>
      </c>
    </row>
    <row r="33" spans="2:14" x14ac:dyDescent="0.25">
      <c r="B33" s="178" t="s">
        <v>37</v>
      </c>
      <c r="C33" s="107">
        <v>2415</v>
      </c>
      <c r="D33" s="108">
        <v>1171</v>
      </c>
      <c r="E33" s="7">
        <f t="shared" si="3"/>
        <v>48.488612836438918</v>
      </c>
      <c r="F33" s="107">
        <v>425</v>
      </c>
      <c r="G33" s="108">
        <v>218</v>
      </c>
      <c r="H33" s="10">
        <f t="shared" si="5"/>
        <v>51.294117647058826</v>
      </c>
      <c r="I33" s="108">
        <f t="shared" si="4"/>
        <v>1267</v>
      </c>
      <c r="J33" s="108">
        <f t="shared" si="1"/>
        <v>667</v>
      </c>
      <c r="K33" s="10">
        <f t="shared" si="2"/>
        <v>52.644041041831102</v>
      </c>
      <c r="L33" s="108">
        <v>723</v>
      </c>
      <c r="M33" s="108">
        <v>286</v>
      </c>
      <c r="N33" s="7">
        <f t="shared" si="0"/>
        <v>39.557399723374829</v>
      </c>
    </row>
    <row r="34" spans="2:14" x14ac:dyDescent="0.25">
      <c r="B34" s="178" t="s">
        <v>38</v>
      </c>
      <c r="C34" s="107">
        <v>5288</v>
      </c>
      <c r="D34" s="108">
        <v>2721</v>
      </c>
      <c r="E34" s="7">
        <f t="shared" si="3"/>
        <v>51.456127080181545</v>
      </c>
      <c r="F34" s="107">
        <v>970</v>
      </c>
      <c r="G34" s="108">
        <v>532</v>
      </c>
      <c r="H34" s="10">
        <f>G34/F34*100</f>
        <v>54.845360824742272</v>
      </c>
      <c r="I34" s="108">
        <f t="shared" si="4"/>
        <v>2905</v>
      </c>
      <c r="J34" s="108">
        <f t="shared" si="1"/>
        <v>1658</v>
      </c>
      <c r="K34" s="10">
        <f t="shared" si="2"/>
        <v>57.074010327022371</v>
      </c>
      <c r="L34" s="108">
        <v>1413</v>
      </c>
      <c r="M34" s="108">
        <v>531</v>
      </c>
      <c r="N34" s="7">
        <f t="shared" si="0"/>
        <v>37.579617834394909</v>
      </c>
    </row>
    <row r="35" spans="2:14" ht="15.75" thickBot="1" x14ac:dyDescent="0.3">
      <c r="B35" s="179" t="s">
        <v>39</v>
      </c>
      <c r="C35" s="109">
        <v>1035</v>
      </c>
      <c r="D35" s="111">
        <v>528</v>
      </c>
      <c r="E35" s="8">
        <f t="shared" si="3"/>
        <v>51.014492753623188</v>
      </c>
      <c r="F35" s="109">
        <v>195</v>
      </c>
      <c r="G35" s="111">
        <v>110</v>
      </c>
      <c r="H35" s="48">
        <f>G35/F35*100</f>
        <v>56.410256410256409</v>
      </c>
      <c r="I35" s="111">
        <f t="shared" si="4"/>
        <v>547</v>
      </c>
      <c r="J35" s="111">
        <f t="shared" si="1"/>
        <v>306</v>
      </c>
      <c r="K35" s="48">
        <f t="shared" si="2"/>
        <v>55.941499085923219</v>
      </c>
      <c r="L35" s="111">
        <v>293</v>
      </c>
      <c r="M35" s="111">
        <v>112</v>
      </c>
      <c r="N35" s="8">
        <f t="shared" si="0"/>
        <v>38.225255972696246</v>
      </c>
    </row>
    <row r="36" spans="2:14" ht="13.5" customHeight="1" x14ac:dyDescent="0.25">
      <c r="B36" s="988" t="s">
        <v>158</v>
      </c>
      <c r="C36" s="988"/>
      <c r="D36" s="988"/>
      <c r="E36" s="988"/>
      <c r="F36" s="988"/>
      <c r="G36" s="988"/>
      <c r="H36" s="988"/>
      <c r="I36" s="988"/>
      <c r="J36" s="988"/>
      <c r="K36" s="988"/>
      <c r="L36" s="988"/>
      <c r="M36" s="988"/>
      <c r="N36" s="988"/>
    </row>
    <row r="37" spans="2:14" ht="14.25" customHeight="1" x14ac:dyDescent="0.25">
      <c r="B37" s="983" t="s">
        <v>159</v>
      </c>
      <c r="C37" s="983"/>
      <c r="D37" s="983"/>
      <c r="E37" s="983"/>
      <c r="F37" s="983"/>
      <c r="G37" s="983"/>
      <c r="H37" s="983"/>
      <c r="I37" s="983"/>
      <c r="J37" s="983"/>
      <c r="K37" s="983"/>
      <c r="L37" s="983"/>
      <c r="M37" s="983"/>
      <c r="N37" s="983"/>
    </row>
  </sheetData>
  <mergeCells count="17">
    <mergeCell ref="I7:K7"/>
    <mergeCell ref="L7:N7"/>
    <mergeCell ref="C8:C9"/>
    <mergeCell ref="D8:E8"/>
    <mergeCell ref="F8:F9"/>
    <mergeCell ref="B37:N37"/>
    <mergeCell ref="G8:H8"/>
    <mergeCell ref="I8:I9"/>
    <mergeCell ref="J8:K8"/>
    <mergeCell ref="L8:L9"/>
    <mergeCell ref="M8:N8"/>
    <mergeCell ref="B36:N36"/>
    <mergeCell ref="B5:B9"/>
    <mergeCell ref="C5:N5"/>
    <mergeCell ref="C6:E7"/>
    <mergeCell ref="F6:N6"/>
    <mergeCell ref="F7:H7"/>
  </mergeCells>
  <printOptions horizontalCentered="1" verticalCentered="1"/>
  <pageMargins left="0" right="0" top="1.0236220472440944" bottom="0" header="0" footer="0"/>
  <pageSetup paperSize="9" scale="85" fitToWidth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B1:T69"/>
  <sheetViews>
    <sheetView zoomScale="80" zoomScaleNormal="80" workbookViewId="0">
      <selection activeCell="B1" sqref="B1"/>
    </sheetView>
  </sheetViews>
  <sheetFormatPr defaultColWidth="9.140625" defaultRowHeight="15" x14ac:dyDescent="0.25"/>
  <cols>
    <col min="1" max="1" width="3.28515625" style="78" customWidth="1"/>
    <col min="2" max="2" width="23.42578125" style="78" customWidth="1"/>
    <col min="3" max="3" width="15.42578125" style="78" customWidth="1"/>
    <col min="4" max="4" width="15.85546875" style="78" customWidth="1"/>
    <col min="5" max="5" width="14.7109375" style="78" customWidth="1"/>
    <col min="6" max="6" width="14.42578125" style="78" customWidth="1"/>
    <col min="7" max="7" width="15.42578125" style="78" customWidth="1"/>
    <col min="8" max="8" width="16.7109375" style="78" customWidth="1"/>
    <col min="9" max="9" width="15.28515625" style="78" customWidth="1"/>
    <col min="10" max="10" width="15.42578125" style="78" customWidth="1"/>
    <col min="11" max="11" width="9.140625" style="78"/>
    <col min="12" max="12" width="10.85546875" style="78" customWidth="1"/>
    <col min="13" max="13" width="11.5703125" style="78" customWidth="1"/>
    <col min="14" max="14" width="10.140625" style="78" customWidth="1"/>
    <col min="15" max="15" width="11.5703125" style="78" customWidth="1"/>
    <col min="16" max="16" width="11.28515625" style="78" customWidth="1"/>
    <col min="17" max="17" width="9.140625" style="78"/>
    <col min="18" max="18" width="11.28515625" style="78" customWidth="1"/>
    <col min="19" max="19" width="10.5703125" style="78" customWidth="1"/>
    <col min="20" max="20" width="9.140625" style="78"/>
    <col min="21" max="21" width="15.28515625" style="78" customWidth="1"/>
    <col min="22" max="22" width="16" style="78" customWidth="1"/>
    <col min="23" max="23" width="14.42578125" style="78" customWidth="1"/>
    <col min="24" max="24" width="15.140625" style="78" customWidth="1"/>
    <col min="25" max="25" width="15.5703125" style="78" customWidth="1"/>
    <col min="26" max="26" width="15.28515625" style="78" customWidth="1"/>
    <col min="27" max="27" width="15.5703125" style="78" customWidth="1"/>
    <col min="28" max="28" width="15.28515625" style="78" customWidth="1"/>
    <col min="29" max="16384" width="9.140625" style="78"/>
  </cols>
  <sheetData>
    <row r="1" spans="2:20" x14ac:dyDescent="0.25">
      <c r="B1" s="11" t="s">
        <v>374</v>
      </c>
      <c r="C1" s="11"/>
      <c r="D1" s="11"/>
      <c r="E1" s="11"/>
      <c r="F1" s="11"/>
      <c r="G1" s="11"/>
      <c r="H1" s="11"/>
    </row>
    <row r="2" spans="2:20" ht="15.75" thickBot="1" x14ac:dyDescent="0.3">
      <c r="B2" s="11" t="s">
        <v>329</v>
      </c>
      <c r="C2" s="11"/>
      <c r="D2" s="11"/>
      <c r="E2" s="11"/>
      <c r="F2" s="11"/>
      <c r="G2" s="11"/>
      <c r="H2" s="11"/>
    </row>
    <row r="3" spans="2:20" ht="17.25" customHeight="1" x14ac:dyDescent="0.25">
      <c r="B3" s="931" t="s">
        <v>103</v>
      </c>
      <c r="C3" s="739"/>
      <c r="D3" s="740"/>
      <c r="E3" s="740" t="s">
        <v>412</v>
      </c>
      <c r="F3" s="740"/>
      <c r="G3" s="740"/>
      <c r="H3" s="741"/>
      <c r="I3" s="739"/>
      <c r="J3" s="740"/>
      <c r="K3" s="740" t="s">
        <v>485</v>
      </c>
      <c r="L3" s="740"/>
      <c r="M3" s="740"/>
      <c r="N3" s="741"/>
      <c r="O3" s="740"/>
      <c r="P3" s="740"/>
      <c r="Q3" s="740" t="s">
        <v>486</v>
      </c>
      <c r="R3" s="740"/>
      <c r="S3" s="740"/>
      <c r="T3" s="741"/>
    </row>
    <row r="4" spans="2:20" ht="21" customHeight="1" thickBot="1" x14ac:dyDescent="0.3">
      <c r="B4" s="989"/>
      <c r="C4" s="993" t="s">
        <v>237</v>
      </c>
      <c r="D4" s="994"/>
      <c r="E4" s="994"/>
      <c r="F4" s="994"/>
      <c r="G4" s="994"/>
      <c r="H4" s="995"/>
      <c r="I4" s="993" t="s">
        <v>237</v>
      </c>
      <c r="J4" s="994"/>
      <c r="K4" s="994"/>
      <c r="L4" s="994"/>
      <c r="M4" s="994"/>
      <c r="N4" s="995"/>
      <c r="O4" s="993" t="s">
        <v>237</v>
      </c>
      <c r="P4" s="994"/>
      <c r="Q4" s="994"/>
      <c r="R4" s="994"/>
      <c r="S4" s="994"/>
      <c r="T4" s="995"/>
    </row>
    <row r="5" spans="2:20" ht="17.25" customHeight="1" x14ac:dyDescent="0.25">
      <c r="B5" s="989"/>
      <c r="C5" s="911" t="s">
        <v>156</v>
      </c>
      <c r="D5" s="908"/>
      <c r="E5" s="918"/>
      <c r="F5" s="911" t="s">
        <v>157</v>
      </c>
      <c r="G5" s="908"/>
      <c r="H5" s="918"/>
      <c r="I5" s="911" t="s">
        <v>156</v>
      </c>
      <c r="J5" s="908"/>
      <c r="K5" s="918"/>
      <c r="L5" s="911" t="s">
        <v>157</v>
      </c>
      <c r="M5" s="908"/>
      <c r="N5" s="918"/>
      <c r="O5" s="911" t="s">
        <v>156</v>
      </c>
      <c r="P5" s="908"/>
      <c r="Q5" s="918"/>
      <c r="R5" s="911" t="s">
        <v>157</v>
      </c>
      <c r="S5" s="908"/>
      <c r="T5" s="918"/>
    </row>
    <row r="6" spans="2:20" ht="18" customHeight="1" x14ac:dyDescent="0.25">
      <c r="B6" s="989"/>
      <c r="C6" s="930" t="s">
        <v>4</v>
      </c>
      <c r="D6" s="996" t="s">
        <v>94</v>
      </c>
      <c r="E6" s="997"/>
      <c r="F6" s="998" t="s">
        <v>4</v>
      </c>
      <c r="G6" s="996" t="s">
        <v>94</v>
      </c>
      <c r="H6" s="997"/>
      <c r="I6" s="930" t="s">
        <v>4</v>
      </c>
      <c r="J6" s="996" t="s">
        <v>94</v>
      </c>
      <c r="K6" s="997"/>
      <c r="L6" s="998" t="s">
        <v>4</v>
      </c>
      <c r="M6" s="996" t="s">
        <v>94</v>
      </c>
      <c r="N6" s="997"/>
      <c r="O6" s="930" t="s">
        <v>4</v>
      </c>
      <c r="P6" s="996" t="s">
        <v>94</v>
      </c>
      <c r="Q6" s="997"/>
      <c r="R6" s="998" t="s">
        <v>4</v>
      </c>
      <c r="S6" s="996" t="s">
        <v>94</v>
      </c>
      <c r="T6" s="997"/>
    </row>
    <row r="7" spans="2:20" ht="15.75" thickBot="1" x14ac:dyDescent="0.3">
      <c r="B7" s="944"/>
      <c r="C7" s="913"/>
      <c r="D7" s="735" t="s">
        <v>107</v>
      </c>
      <c r="E7" s="581" t="s">
        <v>414</v>
      </c>
      <c r="F7" s="980"/>
      <c r="G7" s="735" t="s">
        <v>107</v>
      </c>
      <c r="H7" s="581" t="s">
        <v>414</v>
      </c>
      <c r="I7" s="913"/>
      <c r="J7" s="735" t="s">
        <v>107</v>
      </c>
      <c r="K7" s="581" t="s">
        <v>414</v>
      </c>
      <c r="L7" s="980"/>
      <c r="M7" s="735" t="s">
        <v>107</v>
      </c>
      <c r="N7" s="581" t="s">
        <v>414</v>
      </c>
      <c r="O7" s="913"/>
      <c r="P7" s="735" t="s">
        <v>107</v>
      </c>
      <c r="Q7" s="581" t="s">
        <v>414</v>
      </c>
      <c r="R7" s="980"/>
      <c r="S7" s="735" t="s">
        <v>107</v>
      </c>
      <c r="T7" s="581" t="s">
        <v>414</v>
      </c>
    </row>
    <row r="8" spans="2:20" ht="26.25" customHeight="1" thickBot="1" x14ac:dyDescent="0.3">
      <c r="B8" s="268" t="s">
        <v>14</v>
      </c>
      <c r="C8" s="269">
        <f>SUM(C9:C33)</f>
        <v>16579</v>
      </c>
      <c r="D8" s="270">
        <f>SUM(D9:D33)</f>
        <v>9496</v>
      </c>
      <c r="E8" s="271">
        <f>D8/C8*100</f>
        <v>57.277278484830205</v>
      </c>
      <c r="F8" s="269">
        <f>SUM(F9:F33)</f>
        <v>17368</v>
      </c>
      <c r="G8" s="270">
        <f>SUM(G9:G33)</f>
        <v>6597</v>
      </c>
      <c r="H8" s="271">
        <f>G8/F8*100</f>
        <v>37.983648088438507</v>
      </c>
      <c r="I8" s="269">
        <f>SUM(I9:I33)</f>
        <v>17985</v>
      </c>
      <c r="J8" s="270">
        <f>SUM(J9:J33)</f>
        <v>9863</v>
      </c>
      <c r="K8" s="271">
        <f>J8/I8*100</f>
        <v>54.840144564915207</v>
      </c>
      <c r="L8" s="269">
        <f>SUM(L9:L33)</f>
        <v>17266</v>
      </c>
      <c r="M8" s="270">
        <f>SUM(M9:M33)</f>
        <v>6435</v>
      </c>
      <c r="N8" s="271">
        <f>M8/L8*100</f>
        <v>37.269778755936521</v>
      </c>
      <c r="O8" s="269">
        <f>SUM(O9:O33)</f>
        <v>16211</v>
      </c>
      <c r="P8" s="270">
        <f>SUM(P9:P33)</f>
        <v>9027</v>
      </c>
      <c r="Q8" s="271">
        <f>P8/O8*100</f>
        <v>55.684411819135157</v>
      </c>
      <c r="R8" s="269">
        <f>SUM(R9:R33)</f>
        <v>16174</v>
      </c>
      <c r="S8" s="270">
        <f>SUM(S9:S33)</f>
        <v>5976</v>
      </c>
      <c r="T8" s="271">
        <f>S8/R8*100</f>
        <v>36.94818845059973</v>
      </c>
    </row>
    <row r="9" spans="2:20" ht="15.75" thickTop="1" x14ac:dyDescent="0.25">
      <c r="B9" s="176" t="s">
        <v>15</v>
      </c>
      <c r="C9" s="180">
        <v>277</v>
      </c>
      <c r="D9" s="181">
        <v>161</v>
      </c>
      <c r="E9" s="55">
        <f>D9/C9*100</f>
        <v>58.122743682310471</v>
      </c>
      <c r="F9" s="180">
        <v>239</v>
      </c>
      <c r="G9" s="181">
        <v>99</v>
      </c>
      <c r="H9" s="55">
        <f t="shared" ref="H9:H33" si="0">G9/F9*100</f>
        <v>41.422594142259413</v>
      </c>
      <c r="I9" s="180">
        <v>299</v>
      </c>
      <c r="J9" s="181">
        <v>165</v>
      </c>
      <c r="K9" s="55">
        <f>J9/I9*100</f>
        <v>55.18394648829431</v>
      </c>
      <c r="L9" s="180">
        <v>270</v>
      </c>
      <c r="M9" s="181">
        <v>103</v>
      </c>
      <c r="N9" s="55">
        <f t="shared" ref="N9:N12" si="1">M9/L9*100</f>
        <v>38.148148148148145</v>
      </c>
      <c r="O9" s="180">
        <f>SUM(T.XIV!F11)</f>
        <v>242</v>
      </c>
      <c r="P9" s="181">
        <f>SUM(T.XIV!G11)</f>
        <v>130</v>
      </c>
      <c r="Q9" s="55">
        <f>P9/O9*100</f>
        <v>53.719008264462808</v>
      </c>
      <c r="R9" s="180">
        <f>SUM(T.XIV!L11)</f>
        <v>248</v>
      </c>
      <c r="S9" s="181">
        <f>SUM(T.XIV!M11)</f>
        <v>88</v>
      </c>
      <c r="T9" s="55">
        <f t="shared" ref="T9:T12" si="2">S9/R9*100</f>
        <v>35.483870967741936</v>
      </c>
    </row>
    <row r="10" spans="2:20" x14ac:dyDescent="0.25">
      <c r="B10" s="177" t="s">
        <v>16</v>
      </c>
      <c r="C10" s="51">
        <v>925</v>
      </c>
      <c r="D10" s="9">
        <v>463</v>
      </c>
      <c r="E10" s="7">
        <f>D10/C10*100</f>
        <v>50.054054054054056</v>
      </c>
      <c r="F10" s="51">
        <v>994</v>
      </c>
      <c r="G10" s="9">
        <v>422</v>
      </c>
      <c r="H10" s="7">
        <f t="shared" si="0"/>
        <v>42.454728370221332</v>
      </c>
      <c r="I10" s="51">
        <v>1032</v>
      </c>
      <c r="J10" s="9">
        <v>496</v>
      </c>
      <c r="K10" s="7">
        <f>J10/I10*100</f>
        <v>48.062015503875969</v>
      </c>
      <c r="L10" s="51">
        <v>1007</v>
      </c>
      <c r="M10" s="9">
        <v>420</v>
      </c>
      <c r="N10" s="7">
        <f t="shared" si="1"/>
        <v>41.708043694141011</v>
      </c>
      <c r="O10" s="51">
        <f>SUM(T.XIV!F12)</f>
        <v>888</v>
      </c>
      <c r="P10" s="9">
        <f>SUM(T.XIV!G12)</f>
        <v>452</v>
      </c>
      <c r="Q10" s="7">
        <f>P10/O10*100</f>
        <v>50.900900900900901</v>
      </c>
      <c r="R10" s="51">
        <f>SUM(T.XIV!L12)</f>
        <v>906</v>
      </c>
      <c r="S10" s="9">
        <f>SUM(T.XIV!M12)</f>
        <v>387</v>
      </c>
      <c r="T10" s="7">
        <f t="shared" si="2"/>
        <v>42.715231788079471</v>
      </c>
    </row>
    <row r="11" spans="2:20" x14ac:dyDescent="0.25">
      <c r="B11" s="177" t="s">
        <v>17</v>
      </c>
      <c r="C11" s="51">
        <v>621</v>
      </c>
      <c r="D11" s="9">
        <v>418</v>
      </c>
      <c r="E11" s="7">
        <f>D11/C11*100</f>
        <v>67.310789049919478</v>
      </c>
      <c r="F11" s="51">
        <v>597</v>
      </c>
      <c r="G11" s="9">
        <v>269</v>
      </c>
      <c r="H11" s="7">
        <f t="shared" si="0"/>
        <v>45.058626465661646</v>
      </c>
      <c r="I11" s="51">
        <v>729</v>
      </c>
      <c r="J11" s="9">
        <v>462</v>
      </c>
      <c r="K11" s="7">
        <f>J11/I11*100</f>
        <v>63.374485596707821</v>
      </c>
      <c r="L11" s="51">
        <v>583</v>
      </c>
      <c r="M11" s="9">
        <v>260</v>
      </c>
      <c r="N11" s="7">
        <f t="shared" si="1"/>
        <v>44.596912521440821</v>
      </c>
      <c r="O11" s="51">
        <f>SUM(T.XIV!F13)</f>
        <v>662</v>
      </c>
      <c r="P11" s="9">
        <f>SUM(T.XIV!G13)</f>
        <v>414</v>
      </c>
      <c r="Q11" s="7">
        <f>P11/O11*100</f>
        <v>62.537764350453173</v>
      </c>
      <c r="R11" s="51">
        <f>SUM(T.XIV!L13)</f>
        <v>581</v>
      </c>
      <c r="S11" s="9">
        <f>SUM(T.XIV!M13)</f>
        <v>245</v>
      </c>
      <c r="T11" s="7">
        <f t="shared" si="2"/>
        <v>42.168674698795186</v>
      </c>
    </row>
    <row r="12" spans="2:20" x14ac:dyDescent="0.25">
      <c r="B12" s="177" t="s">
        <v>18</v>
      </c>
      <c r="C12" s="51">
        <v>1144</v>
      </c>
      <c r="D12" s="9">
        <v>689</v>
      </c>
      <c r="E12" s="7">
        <f>D12/C12*100</f>
        <v>60.227272727272727</v>
      </c>
      <c r="F12" s="51">
        <v>1143</v>
      </c>
      <c r="G12" s="9">
        <v>419</v>
      </c>
      <c r="H12" s="7">
        <f t="shared" si="0"/>
        <v>36.657917760279965</v>
      </c>
      <c r="I12" s="51">
        <v>1254</v>
      </c>
      <c r="J12" s="9">
        <v>691</v>
      </c>
      <c r="K12" s="7">
        <f>J12/I12*100</f>
        <v>55.103668261563001</v>
      </c>
      <c r="L12" s="51">
        <v>1133</v>
      </c>
      <c r="M12" s="9">
        <v>410</v>
      </c>
      <c r="N12" s="7">
        <f t="shared" si="1"/>
        <v>36.187113857016769</v>
      </c>
      <c r="O12" s="51">
        <f>SUM(T.XIV!F14)</f>
        <v>1061</v>
      </c>
      <c r="P12" s="9">
        <f>SUM(T.XIV!G14)</f>
        <v>618</v>
      </c>
      <c r="Q12" s="7">
        <f>P12/O12*100</f>
        <v>58.246936852026387</v>
      </c>
      <c r="R12" s="51">
        <f>SUM(T.XIV!L14)</f>
        <v>1046</v>
      </c>
      <c r="S12" s="9">
        <f>SUM(T.XIV!M14)</f>
        <v>361</v>
      </c>
      <c r="T12" s="7">
        <f t="shared" si="2"/>
        <v>34.512428298279154</v>
      </c>
    </row>
    <row r="13" spans="2:20" x14ac:dyDescent="0.25">
      <c r="B13" s="177" t="s">
        <v>19</v>
      </c>
      <c r="C13" s="51">
        <v>1067</v>
      </c>
      <c r="D13" s="9">
        <v>636</v>
      </c>
      <c r="E13" s="7">
        <f t="shared" ref="E13:E31" si="3">D13/C13*100</f>
        <v>59.606373008434865</v>
      </c>
      <c r="F13" s="51">
        <v>1122</v>
      </c>
      <c r="G13" s="9">
        <v>498</v>
      </c>
      <c r="H13" s="7">
        <f>G13/F13*100</f>
        <v>44.385026737967912</v>
      </c>
      <c r="I13" s="51">
        <v>1269</v>
      </c>
      <c r="J13" s="9">
        <v>745</v>
      </c>
      <c r="K13" s="7">
        <f t="shared" ref="K13:K15" si="4">J13/I13*100</f>
        <v>58.707643814026788</v>
      </c>
      <c r="L13" s="51">
        <v>1159</v>
      </c>
      <c r="M13" s="9">
        <v>496</v>
      </c>
      <c r="N13" s="7">
        <f>M13/L13*100</f>
        <v>42.795513373597927</v>
      </c>
      <c r="O13" s="51">
        <f>SUM(T.XIV!F15)</f>
        <v>1156</v>
      </c>
      <c r="P13" s="9">
        <f>SUM(T.XIV!G15)</f>
        <v>683</v>
      </c>
      <c r="Q13" s="7">
        <f t="shared" ref="Q13:Q15" si="5">P13/O13*100</f>
        <v>59.083044982698965</v>
      </c>
      <c r="R13" s="51">
        <f>SUM(T.XIV!L15)</f>
        <v>1092</v>
      </c>
      <c r="S13" s="9">
        <f>SUM(T.XIV!M15)</f>
        <v>478</v>
      </c>
      <c r="T13" s="7">
        <f>S13/R13*100</f>
        <v>43.772893772893774</v>
      </c>
    </row>
    <row r="14" spans="2:20" x14ac:dyDescent="0.25">
      <c r="B14" s="177" t="s">
        <v>20</v>
      </c>
      <c r="C14" s="51">
        <v>411</v>
      </c>
      <c r="D14" s="9">
        <v>236</v>
      </c>
      <c r="E14" s="7">
        <f t="shared" si="3"/>
        <v>57.420924574209245</v>
      </c>
      <c r="F14" s="51">
        <v>465</v>
      </c>
      <c r="G14" s="9">
        <v>167</v>
      </c>
      <c r="H14" s="7">
        <f t="shared" si="0"/>
        <v>35.913978494623656</v>
      </c>
      <c r="I14" s="51">
        <v>448</v>
      </c>
      <c r="J14" s="9">
        <v>233</v>
      </c>
      <c r="K14" s="7">
        <f t="shared" si="4"/>
        <v>52.008928571428569</v>
      </c>
      <c r="L14" s="51">
        <v>432</v>
      </c>
      <c r="M14" s="9">
        <v>145</v>
      </c>
      <c r="N14" s="7">
        <f t="shared" ref="N14" si="6">M14/L14*100</f>
        <v>33.564814814814817</v>
      </c>
      <c r="O14" s="51">
        <f>SUM(T.XIV!F16)</f>
        <v>441</v>
      </c>
      <c r="P14" s="9">
        <f>SUM(T.XIV!G16)</f>
        <v>238</v>
      </c>
      <c r="Q14" s="7">
        <f t="shared" si="5"/>
        <v>53.968253968253968</v>
      </c>
      <c r="R14" s="51">
        <f>SUM(T.XIV!L16)</f>
        <v>399</v>
      </c>
      <c r="S14" s="9">
        <f>SUM(T.XIV!M16)</f>
        <v>127</v>
      </c>
      <c r="T14" s="7">
        <f t="shared" ref="T14" si="7">S14/R14*100</f>
        <v>31.829573934837089</v>
      </c>
    </row>
    <row r="15" spans="2:20" x14ac:dyDescent="0.25">
      <c r="B15" s="177" t="s">
        <v>21</v>
      </c>
      <c r="C15" s="51">
        <v>381</v>
      </c>
      <c r="D15" s="9">
        <v>255</v>
      </c>
      <c r="E15" s="7">
        <f t="shared" si="3"/>
        <v>66.929133858267718</v>
      </c>
      <c r="F15" s="51">
        <v>539</v>
      </c>
      <c r="G15" s="9">
        <v>211</v>
      </c>
      <c r="H15" s="7">
        <f>G15/F15*100</f>
        <v>39.146567717996291</v>
      </c>
      <c r="I15" s="51">
        <v>503</v>
      </c>
      <c r="J15" s="9">
        <v>303</v>
      </c>
      <c r="K15" s="7">
        <f t="shared" si="4"/>
        <v>60.238568588469185</v>
      </c>
      <c r="L15" s="51">
        <v>546</v>
      </c>
      <c r="M15" s="9">
        <v>213</v>
      </c>
      <c r="N15" s="7">
        <f>M15/L15*100</f>
        <v>39.010989010989015</v>
      </c>
      <c r="O15" s="51">
        <f>SUM(T.XIV!F17)</f>
        <v>511</v>
      </c>
      <c r="P15" s="9">
        <f>SUM(T.XIV!G17)</f>
        <v>301</v>
      </c>
      <c r="Q15" s="7">
        <f t="shared" si="5"/>
        <v>58.904109589041099</v>
      </c>
      <c r="R15" s="51">
        <f>SUM(T.XIV!L17)</f>
        <v>558</v>
      </c>
      <c r="S15" s="9">
        <f>SUM(T.XIV!M17)</f>
        <v>217</v>
      </c>
      <c r="T15" s="7">
        <f>S15/R15*100</f>
        <v>38.888888888888893</v>
      </c>
    </row>
    <row r="16" spans="2:20" x14ac:dyDescent="0.25">
      <c r="B16" s="177" t="s">
        <v>22</v>
      </c>
      <c r="C16" s="51">
        <v>412</v>
      </c>
      <c r="D16" s="9">
        <v>202</v>
      </c>
      <c r="E16" s="7">
        <f>D16/C16*100</f>
        <v>49.029126213592235</v>
      </c>
      <c r="F16" s="51">
        <v>380</v>
      </c>
      <c r="G16" s="9">
        <v>132</v>
      </c>
      <c r="H16" s="7">
        <f>G16/F16*100</f>
        <v>34.736842105263158</v>
      </c>
      <c r="I16" s="51">
        <v>462</v>
      </c>
      <c r="J16" s="9">
        <v>242</v>
      </c>
      <c r="K16" s="7">
        <f>J16/I16*100</f>
        <v>52.380952380952387</v>
      </c>
      <c r="L16" s="51">
        <v>436</v>
      </c>
      <c r="M16" s="9">
        <v>161</v>
      </c>
      <c r="N16" s="7">
        <f>M16/L16*100</f>
        <v>36.926605504587158</v>
      </c>
      <c r="O16" s="51">
        <f>SUM(T.XIV!F18)</f>
        <v>405</v>
      </c>
      <c r="P16" s="9">
        <f>SUM(T.XIV!G18)</f>
        <v>212</v>
      </c>
      <c r="Q16" s="7">
        <f>P16/O16*100</f>
        <v>52.345679012345684</v>
      </c>
      <c r="R16" s="51">
        <f>SUM(T.XIV!L18)</f>
        <v>393</v>
      </c>
      <c r="S16" s="9">
        <f>SUM(T.XIV!M18)</f>
        <v>136</v>
      </c>
      <c r="T16" s="7">
        <f>S16/R16*100</f>
        <v>34.605597964376585</v>
      </c>
    </row>
    <row r="17" spans="2:20" x14ac:dyDescent="0.25">
      <c r="B17" s="177" t="s">
        <v>23</v>
      </c>
      <c r="C17" s="51">
        <v>898</v>
      </c>
      <c r="D17" s="9">
        <v>457</v>
      </c>
      <c r="E17" s="7">
        <f t="shared" si="3"/>
        <v>50.890868596881958</v>
      </c>
      <c r="F17" s="51">
        <v>730</v>
      </c>
      <c r="G17" s="9">
        <v>290</v>
      </c>
      <c r="H17" s="7">
        <f>G17/F17*100</f>
        <v>39.726027397260275</v>
      </c>
      <c r="I17" s="51">
        <v>946</v>
      </c>
      <c r="J17" s="9">
        <v>496</v>
      </c>
      <c r="K17" s="7">
        <f t="shared" ref="K17:K18" si="8">J17/I17*100</f>
        <v>52.43128964059197</v>
      </c>
      <c r="L17" s="51">
        <v>729</v>
      </c>
      <c r="M17" s="9">
        <v>281</v>
      </c>
      <c r="N17" s="7">
        <f>M17/L17*100</f>
        <v>38.545953360768173</v>
      </c>
      <c r="O17" s="51">
        <f>SUM(T.XIV!F19)</f>
        <v>800</v>
      </c>
      <c r="P17" s="9">
        <f>SUM(T.XIV!G19)</f>
        <v>437</v>
      </c>
      <c r="Q17" s="7">
        <f t="shared" ref="Q17:Q18" si="9">P17/O17*100</f>
        <v>54.625</v>
      </c>
      <c r="R17" s="51">
        <f>SUM(T.XIV!L19)</f>
        <v>660</v>
      </c>
      <c r="S17" s="9">
        <f>SUM(T.XIV!M19)</f>
        <v>243</v>
      </c>
      <c r="T17" s="7">
        <f>S17/R17*100</f>
        <v>36.818181818181813</v>
      </c>
    </row>
    <row r="18" spans="2:20" x14ac:dyDescent="0.25">
      <c r="B18" s="177" t="s">
        <v>24</v>
      </c>
      <c r="C18" s="51">
        <v>423</v>
      </c>
      <c r="D18" s="9">
        <v>229</v>
      </c>
      <c r="E18" s="7">
        <f t="shared" si="3"/>
        <v>54.137115839243499</v>
      </c>
      <c r="F18" s="51">
        <v>459</v>
      </c>
      <c r="G18" s="9">
        <v>129</v>
      </c>
      <c r="H18" s="7">
        <f>G18/F18*100</f>
        <v>28.104575163398692</v>
      </c>
      <c r="I18" s="51">
        <v>533</v>
      </c>
      <c r="J18" s="9">
        <v>285</v>
      </c>
      <c r="K18" s="7">
        <f t="shared" si="8"/>
        <v>53.470919324577856</v>
      </c>
      <c r="L18" s="51">
        <v>500</v>
      </c>
      <c r="M18" s="9">
        <v>156</v>
      </c>
      <c r="N18" s="7">
        <f>M18/L18*100</f>
        <v>31.2</v>
      </c>
      <c r="O18" s="51">
        <f>SUM(T.XIV!F20)</f>
        <v>415</v>
      </c>
      <c r="P18" s="9">
        <f>SUM(T.XIV!G20)</f>
        <v>239</v>
      </c>
      <c r="Q18" s="7">
        <f t="shared" si="9"/>
        <v>57.590361445783131</v>
      </c>
      <c r="R18" s="51">
        <f>SUM(T.XIV!L20)</f>
        <v>458</v>
      </c>
      <c r="S18" s="9">
        <f>SUM(T.XIV!M20)</f>
        <v>142</v>
      </c>
      <c r="T18" s="7">
        <f>S18/R18*100</f>
        <v>31.004366812227076</v>
      </c>
    </row>
    <row r="19" spans="2:20" x14ac:dyDescent="0.25">
      <c r="B19" s="177" t="s">
        <v>25</v>
      </c>
      <c r="C19" s="51">
        <v>795</v>
      </c>
      <c r="D19" s="9">
        <v>429</v>
      </c>
      <c r="E19" s="7">
        <f>D19/C19*100</f>
        <v>53.962264150943398</v>
      </c>
      <c r="F19" s="51">
        <v>691</v>
      </c>
      <c r="G19" s="9">
        <v>257</v>
      </c>
      <c r="H19" s="7">
        <f t="shared" si="0"/>
        <v>37.192474674384954</v>
      </c>
      <c r="I19" s="51">
        <v>750</v>
      </c>
      <c r="J19" s="9">
        <v>375</v>
      </c>
      <c r="K19" s="7">
        <f>J19/I19*100</f>
        <v>50</v>
      </c>
      <c r="L19" s="51">
        <v>647</v>
      </c>
      <c r="M19" s="9">
        <v>210</v>
      </c>
      <c r="N19" s="7">
        <f t="shared" ref="N19:N33" si="10">M19/L19*100</f>
        <v>32.457496136012367</v>
      </c>
      <c r="O19" s="51">
        <f>SUM(T.XIV!F21)</f>
        <v>684</v>
      </c>
      <c r="P19" s="9">
        <f>SUM(T.XIV!G21)</f>
        <v>350</v>
      </c>
      <c r="Q19" s="7">
        <f>P19/O19*100</f>
        <v>51.169590643274852</v>
      </c>
      <c r="R19" s="51">
        <f>SUM(T.XIV!L21)</f>
        <v>562</v>
      </c>
      <c r="S19" s="9">
        <f>SUM(T.XIV!M21)</f>
        <v>185</v>
      </c>
      <c r="T19" s="7">
        <f t="shared" ref="T19:T33" si="11">S19/R19*100</f>
        <v>32.918149466192169</v>
      </c>
    </row>
    <row r="20" spans="2:20" x14ac:dyDescent="0.25">
      <c r="B20" s="177" t="s">
        <v>26</v>
      </c>
      <c r="C20" s="51">
        <v>576</v>
      </c>
      <c r="D20" s="9">
        <v>334</v>
      </c>
      <c r="E20" s="7">
        <f t="shared" si="3"/>
        <v>57.986111111111114</v>
      </c>
      <c r="F20" s="51">
        <v>681</v>
      </c>
      <c r="G20" s="9">
        <v>245</v>
      </c>
      <c r="H20" s="7">
        <f t="shared" si="0"/>
        <v>35.976505139500738</v>
      </c>
      <c r="I20" s="51">
        <v>636</v>
      </c>
      <c r="J20" s="9">
        <v>355</v>
      </c>
      <c r="K20" s="7">
        <f t="shared" ref="K20:K22" si="12">J20/I20*100</f>
        <v>55.817610062893088</v>
      </c>
      <c r="L20" s="51">
        <v>678</v>
      </c>
      <c r="M20" s="9">
        <v>239</v>
      </c>
      <c r="N20" s="7">
        <f t="shared" si="10"/>
        <v>35.250737463126839</v>
      </c>
      <c r="O20" s="51">
        <f>SUM(T.XIV!F22)</f>
        <v>735</v>
      </c>
      <c r="P20" s="9">
        <f>SUM(T.XIV!G22)</f>
        <v>402</v>
      </c>
      <c r="Q20" s="7">
        <f t="shared" ref="Q20:Q22" si="13">P20/O20*100</f>
        <v>54.693877551020407</v>
      </c>
      <c r="R20" s="51">
        <f>SUM(T.XIV!L22)</f>
        <v>705</v>
      </c>
      <c r="S20" s="9">
        <f>SUM(T.XIV!M22)</f>
        <v>249</v>
      </c>
      <c r="T20" s="7">
        <f t="shared" si="11"/>
        <v>35.319148936170215</v>
      </c>
    </row>
    <row r="21" spans="2:20" x14ac:dyDescent="0.25">
      <c r="B21" s="177" t="s">
        <v>27</v>
      </c>
      <c r="C21" s="51">
        <v>791</v>
      </c>
      <c r="D21" s="9">
        <v>440</v>
      </c>
      <c r="E21" s="7">
        <f t="shared" si="3"/>
        <v>55.625790139064478</v>
      </c>
      <c r="F21" s="51">
        <v>787</v>
      </c>
      <c r="G21" s="9">
        <v>296</v>
      </c>
      <c r="H21" s="7">
        <f t="shared" si="0"/>
        <v>37.611181702668361</v>
      </c>
      <c r="I21" s="51">
        <v>884</v>
      </c>
      <c r="J21" s="9">
        <v>481</v>
      </c>
      <c r="K21" s="7">
        <f t="shared" si="12"/>
        <v>54.411764705882348</v>
      </c>
      <c r="L21" s="51">
        <v>762</v>
      </c>
      <c r="M21" s="9">
        <v>293</v>
      </c>
      <c r="N21" s="7">
        <f t="shared" si="10"/>
        <v>38.451443569553803</v>
      </c>
      <c r="O21" s="51">
        <f>SUM(T.XIV!F23)</f>
        <v>784</v>
      </c>
      <c r="P21" s="9">
        <f>SUM(T.XIV!G23)</f>
        <v>422</v>
      </c>
      <c r="Q21" s="7">
        <f t="shared" si="13"/>
        <v>53.826530612244895</v>
      </c>
      <c r="R21" s="51">
        <f>SUM(T.XIV!L23)</f>
        <v>738</v>
      </c>
      <c r="S21" s="9">
        <f>SUM(T.XIV!M23)</f>
        <v>280</v>
      </c>
      <c r="T21" s="7">
        <f t="shared" si="11"/>
        <v>37.94037940379404</v>
      </c>
    </row>
    <row r="22" spans="2:20" x14ac:dyDescent="0.25">
      <c r="B22" s="178" t="s">
        <v>28</v>
      </c>
      <c r="C22" s="107">
        <v>787</v>
      </c>
      <c r="D22" s="108">
        <v>441</v>
      </c>
      <c r="E22" s="7">
        <f t="shared" si="3"/>
        <v>56.035578144853872</v>
      </c>
      <c r="F22" s="107">
        <v>734</v>
      </c>
      <c r="G22" s="108">
        <v>276</v>
      </c>
      <c r="H22" s="7">
        <f t="shared" si="0"/>
        <v>37.602179836512263</v>
      </c>
      <c r="I22" s="107">
        <v>841</v>
      </c>
      <c r="J22" s="108">
        <v>465</v>
      </c>
      <c r="K22" s="7">
        <f t="shared" si="12"/>
        <v>55.291319857312729</v>
      </c>
      <c r="L22" s="107">
        <v>777</v>
      </c>
      <c r="M22" s="108">
        <v>286</v>
      </c>
      <c r="N22" s="7">
        <f t="shared" si="10"/>
        <v>36.808236808236813</v>
      </c>
      <c r="O22" s="107">
        <f>SUM(T.XIV!F24)</f>
        <v>706</v>
      </c>
      <c r="P22" s="108">
        <f>SUM(T.XIV!G24)</f>
        <v>407</v>
      </c>
      <c r="Q22" s="7">
        <f t="shared" si="13"/>
        <v>57.648725212464591</v>
      </c>
      <c r="R22" s="107">
        <f>SUM(T.XIV!L24)</f>
        <v>697</v>
      </c>
      <c r="S22" s="108">
        <f>SUM(T.XIV!M24)</f>
        <v>243</v>
      </c>
      <c r="T22" s="7">
        <f t="shared" si="11"/>
        <v>34.863701578192249</v>
      </c>
    </row>
    <row r="23" spans="2:20" x14ac:dyDescent="0.25">
      <c r="B23" s="178" t="s">
        <v>29</v>
      </c>
      <c r="C23" s="107">
        <v>949</v>
      </c>
      <c r="D23" s="108">
        <v>570</v>
      </c>
      <c r="E23" s="7">
        <f>D23/C23*100</f>
        <v>60.063224446786087</v>
      </c>
      <c r="F23" s="107">
        <v>721</v>
      </c>
      <c r="G23" s="108">
        <v>292</v>
      </c>
      <c r="H23" s="7">
        <f t="shared" si="0"/>
        <v>40.499306518723991</v>
      </c>
      <c r="I23" s="107">
        <v>1059</v>
      </c>
      <c r="J23" s="108">
        <v>604</v>
      </c>
      <c r="K23" s="7">
        <f>J23/I23*100</f>
        <v>57.034938621340892</v>
      </c>
      <c r="L23" s="107">
        <v>737</v>
      </c>
      <c r="M23" s="108">
        <v>274</v>
      </c>
      <c r="N23" s="7">
        <f t="shared" si="10"/>
        <v>37.177747625508815</v>
      </c>
      <c r="O23" s="107">
        <f>SUM(T.XIV!F25)</f>
        <v>852</v>
      </c>
      <c r="P23" s="108">
        <f>SUM(T.XIV!G25)</f>
        <v>482</v>
      </c>
      <c r="Q23" s="7">
        <f>P23/O23*100</f>
        <v>56.57276995305164</v>
      </c>
      <c r="R23" s="107">
        <f>SUM(T.XIV!L25)</f>
        <v>657</v>
      </c>
      <c r="S23" s="108">
        <f>SUM(T.XIV!M25)</f>
        <v>240</v>
      </c>
      <c r="T23" s="7">
        <f t="shared" si="11"/>
        <v>36.529680365296798</v>
      </c>
    </row>
    <row r="24" spans="2:20" x14ac:dyDescent="0.25">
      <c r="B24" s="178" t="s">
        <v>30</v>
      </c>
      <c r="C24" s="107">
        <v>826</v>
      </c>
      <c r="D24" s="108">
        <v>480</v>
      </c>
      <c r="E24" s="7">
        <f t="shared" si="3"/>
        <v>58.111380145278446</v>
      </c>
      <c r="F24" s="107">
        <v>669</v>
      </c>
      <c r="G24" s="108">
        <v>259</v>
      </c>
      <c r="H24" s="7">
        <f t="shared" si="0"/>
        <v>38.714499252615845</v>
      </c>
      <c r="I24" s="107">
        <v>774</v>
      </c>
      <c r="J24" s="108">
        <v>431</v>
      </c>
      <c r="K24" s="7">
        <f t="shared" ref="K24:K25" si="14">J24/I24*100</f>
        <v>55.684754521963818</v>
      </c>
      <c r="L24" s="107">
        <v>628</v>
      </c>
      <c r="M24" s="108">
        <v>222</v>
      </c>
      <c r="N24" s="7">
        <f t="shared" si="10"/>
        <v>35.35031847133758</v>
      </c>
      <c r="O24" s="107">
        <f>SUM(T.XIV!F26)</f>
        <v>746</v>
      </c>
      <c r="P24" s="108">
        <f>SUM(T.XIV!G26)</f>
        <v>424</v>
      </c>
      <c r="Q24" s="7">
        <f t="shared" ref="Q24:Q25" si="15">P24/O24*100</f>
        <v>56.836461126005368</v>
      </c>
      <c r="R24" s="107">
        <f>SUM(T.XIV!L26)</f>
        <v>567</v>
      </c>
      <c r="S24" s="108">
        <f>SUM(T.XIV!M26)</f>
        <v>208</v>
      </c>
      <c r="T24" s="7">
        <f t="shared" si="11"/>
        <v>36.684303350970012</v>
      </c>
    </row>
    <row r="25" spans="2:20" x14ac:dyDescent="0.25">
      <c r="B25" s="178" t="s">
        <v>31</v>
      </c>
      <c r="C25" s="107">
        <v>1310</v>
      </c>
      <c r="D25" s="108">
        <v>723</v>
      </c>
      <c r="E25" s="7">
        <f t="shared" si="3"/>
        <v>55.190839694656489</v>
      </c>
      <c r="F25" s="107">
        <v>1218</v>
      </c>
      <c r="G25" s="108">
        <v>390</v>
      </c>
      <c r="H25" s="7">
        <f t="shared" si="0"/>
        <v>32.019704433497537</v>
      </c>
      <c r="I25" s="107">
        <v>1336</v>
      </c>
      <c r="J25" s="108">
        <v>701</v>
      </c>
      <c r="K25" s="7">
        <f t="shared" si="14"/>
        <v>52.470059880239518</v>
      </c>
      <c r="L25" s="107">
        <v>1258</v>
      </c>
      <c r="M25" s="108">
        <v>416</v>
      </c>
      <c r="N25" s="7">
        <f t="shared" si="10"/>
        <v>33.068362480127185</v>
      </c>
      <c r="O25" s="107">
        <f>SUM(T.XIV!F27)</f>
        <v>1153</v>
      </c>
      <c r="P25" s="108">
        <f>SUM(T.XIV!G27)</f>
        <v>623</v>
      </c>
      <c r="Q25" s="7">
        <f t="shared" si="15"/>
        <v>54.032957502168259</v>
      </c>
      <c r="R25" s="107">
        <f>SUM(T.XIV!L27)</f>
        <v>1130</v>
      </c>
      <c r="S25" s="108">
        <f>SUM(T.XIV!M27)</f>
        <v>356</v>
      </c>
      <c r="T25" s="7">
        <f t="shared" si="11"/>
        <v>31.504424778761063</v>
      </c>
    </row>
    <row r="26" spans="2:20" x14ac:dyDescent="0.25">
      <c r="B26" s="178" t="s">
        <v>32</v>
      </c>
      <c r="C26" s="107">
        <v>590</v>
      </c>
      <c r="D26" s="108">
        <v>340</v>
      </c>
      <c r="E26" s="7">
        <f>D26/C26*100</f>
        <v>57.627118644067799</v>
      </c>
      <c r="F26" s="107">
        <v>590</v>
      </c>
      <c r="G26" s="108">
        <v>206</v>
      </c>
      <c r="H26" s="7">
        <f t="shared" si="0"/>
        <v>34.915254237288131</v>
      </c>
      <c r="I26" s="107">
        <v>737</v>
      </c>
      <c r="J26" s="108">
        <v>406</v>
      </c>
      <c r="K26" s="7">
        <f>J26/I26*100</f>
        <v>55.088195386702857</v>
      </c>
      <c r="L26" s="107">
        <v>610</v>
      </c>
      <c r="M26" s="108">
        <v>203</v>
      </c>
      <c r="N26" s="7">
        <f t="shared" si="10"/>
        <v>33.278688524590166</v>
      </c>
      <c r="O26" s="107">
        <f>SUM(T.XIV!F28)</f>
        <v>676</v>
      </c>
      <c r="P26" s="108">
        <f>SUM(T.XIV!G28)</f>
        <v>386</v>
      </c>
      <c r="Q26" s="7">
        <f>P26/O26*100</f>
        <v>57.100591715976336</v>
      </c>
      <c r="R26" s="107">
        <f>SUM(T.XIV!L28)</f>
        <v>617</v>
      </c>
      <c r="S26" s="108">
        <f>SUM(T.XIV!M28)</f>
        <v>212</v>
      </c>
      <c r="T26" s="7">
        <f t="shared" si="11"/>
        <v>34.359805510534848</v>
      </c>
    </row>
    <row r="27" spans="2:20" x14ac:dyDescent="0.25">
      <c r="B27" s="178" t="s">
        <v>33</v>
      </c>
      <c r="C27" s="107">
        <v>446</v>
      </c>
      <c r="D27" s="108">
        <v>278</v>
      </c>
      <c r="E27" s="7">
        <f t="shared" si="3"/>
        <v>62.331838565022423</v>
      </c>
      <c r="F27" s="107">
        <v>570</v>
      </c>
      <c r="G27" s="108">
        <v>215</v>
      </c>
      <c r="H27" s="7">
        <f t="shared" si="0"/>
        <v>37.719298245614034</v>
      </c>
      <c r="I27" s="107">
        <v>474</v>
      </c>
      <c r="J27" s="108">
        <v>297</v>
      </c>
      <c r="K27" s="7">
        <f t="shared" ref="K27:K29" si="16">J27/I27*100</f>
        <v>62.658227848101269</v>
      </c>
      <c r="L27" s="107">
        <v>522</v>
      </c>
      <c r="M27" s="108">
        <v>205</v>
      </c>
      <c r="N27" s="7">
        <f t="shared" si="10"/>
        <v>39.272030651340998</v>
      </c>
      <c r="O27" s="107">
        <f>SUM(T.XIV!F29)</f>
        <v>485</v>
      </c>
      <c r="P27" s="108">
        <f>SUM(T.XIV!G29)</f>
        <v>289</v>
      </c>
      <c r="Q27" s="7">
        <f t="shared" ref="Q27:Q29" si="17">P27/O27*100</f>
        <v>59.587628865979383</v>
      </c>
      <c r="R27" s="107">
        <f>SUM(T.XIV!L29)</f>
        <v>488</v>
      </c>
      <c r="S27" s="108">
        <f>SUM(T.XIV!M29)</f>
        <v>193</v>
      </c>
      <c r="T27" s="7">
        <f t="shared" si="11"/>
        <v>39.549180327868854</v>
      </c>
    </row>
    <row r="28" spans="2:20" x14ac:dyDescent="0.25">
      <c r="B28" s="178" t="s">
        <v>34</v>
      </c>
      <c r="C28" s="107">
        <v>865</v>
      </c>
      <c r="D28" s="108">
        <v>471</v>
      </c>
      <c r="E28" s="7">
        <f t="shared" si="3"/>
        <v>54.450867052023121</v>
      </c>
      <c r="F28" s="107">
        <v>774</v>
      </c>
      <c r="G28" s="108">
        <v>298</v>
      </c>
      <c r="H28" s="7">
        <f t="shared" si="0"/>
        <v>38.501291989664082</v>
      </c>
      <c r="I28" s="107">
        <v>935</v>
      </c>
      <c r="J28" s="108">
        <v>475</v>
      </c>
      <c r="K28" s="7">
        <f t="shared" si="16"/>
        <v>50.802139037433157</v>
      </c>
      <c r="L28" s="107">
        <v>780</v>
      </c>
      <c r="M28" s="108">
        <v>299</v>
      </c>
      <c r="N28" s="7">
        <f t="shared" si="10"/>
        <v>38.333333333333336</v>
      </c>
      <c r="O28" s="107">
        <f>SUM(T.XIV!F30)</f>
        <v>795</v>
      </c>
      <c r="P28" s="108">
        <f>SUM(T.XIV!G30)</f>
        <v>410</v>
      </c>
      <c r="Q28" s="7">
        <f t="shared" si="17"/>
        <v>51.572327044025158</v>
      </c>
      <c r="R28" s="107">
        <f>SUM(T.XIV!L30)</f>
        <v>725</v>
      </c>
      <c r="S28" s="108">
        <f>SUM(T.XIV!M30)</f>
        <v>270</v>
      </c>
      <c r="T28" s="7">
        <f t="shared" si="11"/>
        <v>37.241379310344833</v>
      </c>
    </row>
    <row r="29" spans="2:20" x14ac:dyDescent="0.25">
      <c r="B29" s="178" t="s">
        <v>35</v>
      </c>
      <c r="C29" s="107">
        <v>339</v>
      </c>
      <c r="D29" s="108">
        <v>213</v>
      </c>
      <c r="E29" s="7">
        <f t="shared" si="3"/>
        <v>62.831858407079643</v>
      </c>
      <c r="F29" s="107">
        <v>379</v>
      </c>
      <c r="G29" s="108">
        <v>124</v>
      </c>
      <c r="H29" s="7">
        <f t="shared" si="0"/>
        <v>32.717678100263853</v>
      </c>
      <c r="I29" s="107">
        <v>324</v>
      </c>
      <c r="J29" s="108">
        <v>183</v>
      </c>
      <c r="K29" s="7">
        <f t="shared" si="16"/>
        <v>56.481481481481474</v>
      </c>
      <c r="L29" s="107">
        <v>366</v>
      </c>
      <c r="M29" s="108">
        <v>122</v>
      </c>
      <c r="N29" s="7">
        <f t="shared" si="10"/>
        <v>33.333333333333329</v>
      </c>
      <c r="O29" s="107">
        <f>SUM(T.XIV!F31)</f>
        <v>301</v>
      </c>
      <c r="P29" s="108">
        <f>SUM(T.XIV!G31)</f>
        <v>180</v>
      </c>
      <c r="Q29" s="7">
        <f t="shared" si="17"/>
        <v>59.800664451827245</v>
      </c>
      <c r="R29" s="107">
        <f>SUM(T.XIV!L31)</f>
        <v>343</v>
      </c>
      <c r="S29" s="108">
        <f>SUM(T.XIV!M31)</f>
        <v>114</v>
      </c>
      <c r="T29" s="7">
        <f t="shared" si="11"/>
        <v>33.236151603498541</v>
      </c>
    </row>
    <row r="30" spans="2:20" x14ac:dyDescent="0.25">
      <c r="B30" s="178" t="s">
        <v>36</v>
      </c>
      <c r="C30" s="107">
        <v>113</v>
      </c>
      <c r="D30" s="108">
        <v>73</v>
      </c>
      <c r="E30" s="7">
        <f>D30/C30*100</f>
        <v>64.601769911504419</v>
      </c>
      <c r="F30" s="107">
        <v>187</v>
      </c>
      <c r="G30" s="108">
        <v>72</v>
      </c>
      <c r="H30" s="7">
        <f t="shared" si="0"/>
        <v>38.502673796791441</v>
      </c>
      <c r="I30" s="107">
        <v>124</v>
      </c>
      <c r="J30" s="108">
        <v>68</v>
      </c>
      <c r="K30" s="7">
        <f>J30/I30*100</f>
        <v>54.838709677419352</v>
      </c>
      <c r="L30" s="107">
        <v>169</v>
      </c>
      <c r="M30" s="108">
        <v>62</v>
      </c>
      <c r="N30" s="7">
        <f t="shared" si="10"/>
        <v>36.68639053254438</v>
      </c>
      <c r="O30" s="107">
        <f>SUM(T.XIV!F32)</f>
        <v>123</v>
      </c>
      <c r="P30" s="108">
        <f>SUM(T.XIV!G32)</f>
        <v>68</v>
      </c>
      <c r="Q30" s="7">
        <f>P30/O30*100</f>
        <v>55.284552845528459</v>
      </c>
      <c r="R30" s="107">
        <f>SUM(T.XIV!L32)</f>
        <v>175</v>
      </c>
      <c r="S30" s="108">
        <f>SUM(T.XIV!M32)</f>
        <v>73</v>
      </c>
      <c r="T30" s="7">
        <f t="shared" si="11"/>
        <v>41.714285714285715</v>
      </c>
    </row>
    <row r="31" spans="2:20" x14ac:dyDescent="0.25">
      <c r="B31" s="178" t="s">
        <v>37</v>
      </c>
      <c r="C31" s="107">
        <v>407</v>
      </c>
      <c r="D31" s="108">
        <v>236</v>
      </c>
      <c r="E31" s="7">
        <f t="shared" si="3"/>
        <v>57.985257985257988</v>
      </c>
      <c r="F31" s="107">
        <v>756</v>
      </c>
      <c r="G31" s="108">
        <v>308</v>
      </c>
      <c r="H31" s="7">
        <f t="shared" si="0"/>
        <v>40.74074074074074</v>
      </c>
      <c r="I31" s="107">
        <v>433</v>
      </c>
      <c r="J31" s="108">
        <v>223</v>
      </c>
      <c r="K31" s="7">
        <f t="shared" ref="K31" si="18">J31/I31*100</f>
        <v>51.501154734411081</v>
      </c>
      <c r="L31" s="107">
        <v>743</v>
      </c>
      <c r="M31" s="108">
        <v>285</v>
      </c>
      <c r="N31" s="7">
        <f t="shared" si="10"/>
        <v>38.358008075370122</v>
      </c>
      <c r="O31" s="107">
        <f>SUM(T.XIV!F33)</f>
        <v>425</v>
      </c>
      <c r="P31" s="108">
        <f>SUM(T.XIV!G33)</f>
        <v>218</v>
      </c>
      <c r="Q31" s="7">
        <f t="shared" ref="Q31" si="19">P31/O31*100</f>
        <v>51.294117647058826</v>
      </c>
      <c r="R31" s="107">
        <f>SUM(T.XIV!L33)</f>
        <v>723</v>
      </c>
      <c r="S31" s="108">
        <f>SUM(T.XIV!M33)</f>
        <v>286</v>
      </c>
      <c r="T31" s="7">
        <f t="shared" si="11"/>
        <v>39.557399723374829</v>
      </c>
    </row>
    <row r="32" spans="2:20" x14ac:dyDescent="0.25">
      <c r="B32" s="178" t="s">
        <v>38</v>
      </c>
      <c r="C32" s="107">
        <v>1008</v>
      </c>
      <c r="D32" s="108">
        <v>588</v>
      </c>
      <c r="E32" s="7">
        <f>D32/C32*100</f>
        <v>58.333333333333336</v>
      </c>
      <c r="F32" s="107">
        <v>1582</v>
      </c>
      <c r="G32" s="108">
        <v>581</v>
      </c>
      <c r="H32" s="7">
        <f t="shared" si="0"/>
        <v>36.725663716814161</v>
      </c>
      <c r="I32" s="107">
        <v>1004</v>
      </c>
      <c r="J32" s="108">
        <v>555</v>
      </c>
      <c r="K32" s="7">
        <f>J32/I32*100</f>
        <v>55.278884462151389</v>
      </c>
      <c r="L32" s="107">
        <v>1477</v>
      </c>
      <c r="M32" s="108">
        <v>551</v>
      </c>
      <c r="N32" s="7">
        <f t="shared" si="10"/>
        <v>37.305348679756264</v>
      </c>
      <c r="O32" s="107">
        <f>SUM(T.XIV!F34)</f>
        <v>970</v>
      </c>
      <c r="P32" s="108">
        <f>SUM(T.XIV!G34)</f>
        <v>532</v>
      </c>
      <c r="Q32" s="7">
        <f>P32/O32*100</f>
        <v>54.845360824742272</v>
      </c>
      <c r="R32" s="107">
        <f>SUM(T.XIV!L34)</f>
        <v>1413</v>
      </c>
      <c r="S32" s="108">
        <f>SUM(T.XIV!M34)</f>
        <v>531</v>
      </c>
      <c r="T32" s="7">
        <f t="shared" si="11"/>
        <v>37.579617834394909</v>
      </c>
    </row>
    <row r="33" spans="2:20" ht="15.75" thickBot="1" x14ac:dyDescent="0.3">
      <c r="B33" s="179" t="s">
        <v>39</v>
      </c>
      <c r="C33" s="109">
        <v>218</v>
      </c>
      <c r="D33" s="111">
        <v>134</v>
      </c>
      <c r="E33" s="8">
        <f>D33/C33*100</f>
        <v>61.467889908256879</v>
      </c>
      <c r="F33" s="109">
        <v>361</v>
      </c>
      <c r="G33" s="111">
        <v>142</v>
      </c>
      <c r="H33" s="8">
        <f t="shared" si="0"/>
        <v>39.335180055401665</v>
      </c>
      <c r="I33" s="109">
        <v>199</v>
      </c>
      <c r="J33" s="111">
        <v>126</v>
      </c>
      <c r="K33" s="8">
        <f>J33/I33*100</f>
        <v>63.316582914572862</v>
      </c>
      <c r="L33" s="109">
        <v>317</v>
      </c>
      <c r="M33" s="111">
        <v>123</v>
      </c>
      <c r="N33" s="8">
        <f t="shared" si="10"/>
        <v>38.801261829652994</v>
      </c>
      <c r="O33" s="109">
        <f>SUM(T.XIV!F35)</f>
        <v>195</v>
      </c>
      <c r="P33" s="111">
        <f>SUM(T.XIV!G35)</f>
        <v>110</v>
      </c>
      <c r="Q33" s="8">
        <f>P33/O33*100</f>
        <v>56.410256410256409</v>
      </c>
      <c r="R33" s="109">
        <f>SUM(T.XIV!L35)</f>
        <v>293</v>
      </c>
      <c r="S33" s="111">
        <f>SUM(T.XIV!M35)</f>
        <v>112</v>
      </c>
      <c r="T33" s="8">
        <f t="shared" si="11"/>
        <v>38.225255972696246</v>
      </c>
    </row>
    <row r="34" spans="2:20" ht="13.5" customHeight="1" x14ac:dyDescent="0.25">
      <c r="B34" s="447" t="s">
        <v>158</v>
      </c>
      <c r="C34" s="447"/>
      <c r="D34" s="447"/>
      <c r="E34" s="447"/>
      <c r="F34" s="447"/>
      <c r="G34" s="447"/>
      <c r="H34" s="447"/>
    </row>
    <row r="35" spans="2:20" ht="14.25" customHeight="1" x14ac:dyDescent="0.25">
      <c r="B35" s="450" t="s">
        <v>421</v>
      </c>
      <c r="C35" s="450"/>
      <c r="D35" s="450"/>
      <c r="E35" s="450"/>
      <c r="F35" s="450"/>
      <c r="G35" s="450"/>
      <c r="H35" s="450"/>
      <c r="I35" s="240"/>
    </row>
    <row r="36" spans="2:20" ht="14.25" customHeight="1" x14ac:dyDescent="0.25">
      <c r="B36" s="422"/>
      <c r="C36" s="422"/>
      <c r="D36" s="422"/>
      <c r="E36" s="422"/>
      <c r="F36" s="422"/>
      <c r="G36" s="422"/>
      <c r="H36" s="422"/>
    </row>
    <row r="37" spans="2:20" ht="14.25" customHeight="1" x14ac:dyDescent="0.25">
      <c r="B37" s="11" t="s">
        <v>377</v>
      </c>
      <c r="C37" s="422"/>
      <c r="D37" s="422"/>
      <c r="E37" s="422"/>
      <c r="F37" s="422"/>
      <c r="G37" s="422"/>
      <c r="H37" s="422"/>
    </row>
    <row r="38" spans="2:20" ht="15.75" thickBot="1" x14ac:dyDescent="0.3">
      <c r="B38" s="11" t="s">
        <v>364</v>
      </c>
    </row>
    <row r="39" spans="2:20" ht="15.75" thickBot="1" x14ac:dyDescent="0.3">
      <c r="B39" s="931" t="s">
        <v>103</v>
      </c>
      <c r="C39" s="742"/>
      <c r="D39" s="740" t="s">
        <v>346</v>
      </c>
      <c r="E39" s="740"/>
      <c r="F39" s="741"/>
      <c r="G39" s="742"/>
      <c r="H39" s="740" t="s">
        <v>347</v>
      </c>
      <c r="I39" s="740"/>
      <c r="J39" s="741"/>
    </row>
    <row r="40" spans="2:20" x14ac:dyDescent="0.25">
      <c r="B40" s="989"/>
      <c r="C40" s="569" t="s">
        <v>344</v>
      </c>
      <c r="D40" s="745" t="s">
        <v>109</v>
      </c>
      <c r="E40" s="569" t="s">
        <v>109</v>
      </c>
      <c r="F40" s="745" t="s">
        <v>109</v>
      </c>
      <c r="G40" s="569" t="s">
        <v>344</v>
      </c>
      <c r="H40" s="745" t="s">
        <v>109</v>
      </c>
      <c r="I40" s="569" t="s">
        <v>109</v>
      </c>
      <c r="J40" s="745" t="s">
        <v>109</v>
      </c>
    </row>
    <row r="41" spans="2:20" ht="42" customHeight="1" x14ac:dyDescent="0.25">
      <c r="B41" s="989"/>
      <c r="C41" s="743" t="s">
        <v>553</v>
      </c>
      <c r="D41" s="746" t="s">
        <v>553</v>
      </c>
      <c r="E41" s="743" t="s">
        <v>554</v>
      </c>
      <c r="F41" s="746" t="s">
        <v>554</v>
      </c>
      <c r="G41" s="743" t="s">
        <v>553</v>
      </c>
      <c r="H41" s="746" t="s">
        <v>553</v>
      </c>
      <c r="I41" s="743" t="s">
        <v>554</v>
      </c>
      <c r="J41" s="746" t="s">
        <v>555</v>
      </c>
    </row>
    <row r="42" spans="2:20" ht="21.75" customHeight="1" x14ac:dyDescent="0.25">
      <c r="B42" s="989"/>
      <c r="C42" s="743" t="s">
        <v>107</v>
      </c>
      <c r="D42" s="746" t="s">
        <v>345</v>
      </c>
      <c r="E42" s="743" t="s">
        <v>107</v>
      </c>
      <c r="F42" s="746" t="s">
        <v>345</v>
      </c>
      <c r="G42" s="743" t="s">
        <v>107</v>
      </c>
      <c r="H42" s="746" t="s">
        <v>345</v>
      </c>
      <c r="I42" s="743" t="s">
        <v>107</v>
      </c>
      <c r="J42" s="746" t="s">
        <v>345</v>
      </c>
    </row>
    <row r="43" spans="2:20" ht="14.25" customHeight="1" thickBot="1" x14ac:dyDescent="0.3">
      <c r="B43" s="944"/>
      <c r="C43" s="744"/>
      <c r="D43" s="747"/>
      <c r="E43" s="744"/>
      <c r="F43" s="747"/>
      <c r="G43" s="744"/>
      <c r="H43" s="747"/>
      <c r="I43" s="744"/>
      <c r="J43" s="747"/>
    </row>
    <row r="44" spans="2:20" ht="19.5" thickBot="1" x14ac:dyDescent="0.3">
      <c r="B44" s="268" t="s">
        <v>14</v>
      </c>
      <c r="C44" s="378">
        <f>O8-I8</f>
        <v>-1774</v>
      </c>
      <c r="D44" s="379">
        <f>C44*100/I8</f>
        <v>-9.8637753683625249</v>
      </c>
      <c r="E44" s="378">
        <f>O8-C8</f>
        <v>-368</v>
      </c>
      <c r="F44" s="379">
        <f>E44*100/C8</f>
        <v>-2.2196754930936726</v>
      </c>
      <c r="G44" s="378">
        <f>R8-L8</f>
        <v>-1092</v>
      </c>
      <c r="H44" s="379">
        <f>G44*100/L8</f>
        <v>-6.3245685161589247</v>
      </c>
      <c r="I44" s="378">
        <f>R8-F8</f>
        <v>-1194</v>
      </c>
      <c r="J44" s="379">
        <f>I44*100/F8</f>
        <v>-6.8747121142330725</v>
      </c>
    </row>
    <row r="45" spans="2:20" ht="15.75" thickTop="1" x14ac:dyDescent="0.25">
      <c r="B45" s="176" t="s">
        <v>15</v>
      </c>
      <c r="C45" s="180">
        <f t="shared" ref="C45:C69" si="20">O9-I9</f>
        <v>-57</v>
      </c>
      <c r="D45" s="55">
        <f t="shared" ref="D45:D69" si="21">C45*100/I9</f>
        <v>-19.063545150501671</v>
      </c>
      <c r="E45" s="180">
        <f t="shared" ref="E45:E69" si="22">O9-C9</f>
        <v>-35</v>
      </c>
      <c r="F45" s="55">
        <f t="shared" ref="F45:F69" si="23">E45*100/C9</f>
        <v>-12.635379061371841</v>
      </c>
      <c r="G45" s="180">
        <f t="shared" ref="G45:G69" si="24">R9-L9</f>
        <v>-22</v>
      </c>
      <c r="H45" s="55">
        <f t="shared" ref="H45:H69" si="25">G45*100/L9</f>
        <v>-8.1481481481481488</v>
      </c>
      <c r="I45" s="180">
        <f t="shared" ref="I45:I69" si="26">R9-F9</f>
        <v>9</v>
      </c>
      <c r="J45" s="55">
        <f t="shared" ref="J45:J69" si="27">I45*100/F9</f>
        <v>3.7656903765690375</v>
      </c>
    </row>
    <row r="46" spans="2:20" x14ac:dyDescent="0.25">
      <c r="B46" s="177" t="s">
        <v>16</v>
      </c>
      <c r="C46" s="51">
        <f t="shared" si="20"/>
        <v>-144</v>
      </c>
      <c r="D46" s="7">
        <f t="shared" si="21"/>
        <v>-13.953488372093023</v>
      </c>
      <c r="E46" s="51">
        <f t="shared" si="22"/>
        <v>-37</v>
      </c>
      <c r="F46" s="7">
        <f t="shared" si="23"/>
        <v>-4</v>
      </c>
      <c r="G46" s="51">
        <f t="shared" si="24"/>
        <v>-101</v>
      </c>
      <c r="H46" s="7">
        <f t="shared" si="25"/>
        <v>-10.02979145978153</v>
      </c>
      <c r="I46" s="51">
        <f t="shared" si="26"/>
        <v>-88</v>
      </c>
      <c r="J46" s="7">
        <f t="shared" si="27"/>
        <v>-8.8531187122736412</v>
      </c>
    </row>
    <row r="47" spans="2:20" x14ac:dyDescent="0.25">
      <c r="B47" s="177" t="s">
        <v>17</v>
      </c>
      <c r="C47" s="51">
        <f t="shared" si="20"/>
        <v>-67</v>
      </c>
      <c r="D47" s="7">
        <f t="shared" si="21"/>
        <v>-9.1906721536351164</v>
      </c>
      <c r="E47" s="51">
        <f t="shared" si="22"/>
        <v>41</v>
      </c>
      <c r="F47" s="7">
        <f t="shared" si="23"/>
        <v>6.6022544283413849</v>
      </c>
      <c r="G47" s="51">
        <f t="shared" si="24"/>
        <v>-2</v>
      </c>
      <c r="H47" s="7">
        <f t="shared" si="25"/>
        <v>-0.34305317324185247</v>
      </c>
      <c r="I47" s="51">
        <f t="shared" si="26"/>
        <v>-16</v>
      </c>
      <c r="J47" s="7">
        <f t="shared" si="27"/>
        <v>-2.6800670016750421</v>
      </c>
    </row>
    <row r="48" spans="2:20" x14ac:dyDescent="0.25">
      <c r="B48" s="177" t="s">
        <v>18</v>
      </c>
      <c r="C48" s="51">
        <f t="shared" si="20"/>
        <v>-193</v>
      </c>
      <c r="D48" s="7">
        <f t="shared" si="21"/>
        <v>-15.390749601275918</v>
      </c>
      <c r="E48" s="51">
        <f t="shared" si="22"/>
        <v>-83</v>
      </c>
      <c r="F48" s="7">
        <f t="shared" si="23"/>
        <v>-7.255244755244755</v>
      </c>
      <c r="G48" s="51">
        <f t="shared" si="24"/>
        <v>-87</v>
      </c>
      <c r="H48" s="7">
        <f t="shared" si="25"/>
        <v>-7.6787290379523387</v>
      </c>
      <c r="I48" s="51">
        <f t="shared" si="26"/>
        <v>-97</v>
      </c>
      <c r="J48" s="7">
        <f t="shared" si="27"/>
        <v>-8.486439195100612</v>
      </c>
    </row>
    <row r="49" spans="2:10" x14ac:dyDescent="0.25">
      <c r="B49" s="177" t="s">
        <v>19</v>
      </c>
      <c r="C49" s="51">
        <f t="shared" si="20"/>
        <v>-113</v>
      </c>
      <c r="D49" s="7">
        <f t="shared" si="21"/>
        <v>-8.904649330181245</v>
      </c>
      <c r="E49" s="51">
        <f t="shared" si="22"/>
        <v>89</v>
      </c>
      <c r="F49" s="7">
        <f t="shared" si="23"/>
        <v>8.3411433926897853</v>
      </c>
      <c r="G49" s="51">
        <f t="shared" si="24"/>
        <v>-67</v>
      </c>
      <c r="H49" s="7">
        <f t="shared" si="25"/>
        <v>-5.7808455565142367</v>
      </c>
      <c r="I49" s="51">
        <f t="shared" si="26"/>
        <v>-30</v>
      </c>
      <c r="J49" s="7">
        <f t="shared" si="27"/>
        <v>-2.6737967914438503</v>
      </c>
    </row>
    <row r="50" spans="2:10" x14ac:dyDescent="0.25">
      <c r="B50" s="177" t="s">
        <v>20</v>
      </c>
      <c r="C50" s="51">
        <f t="shared" si="20"/>
        <v>-7</v>
      </c>
      <c r="D50" s="7">
        <f t="shared" si="21"/>
        <v>-1.5625</v>
      </c>
      <c r="E50" s="51">
        <f t="shared" si="22"/>
        <v>30</v>
      </c>
      <c r="F50" s="7">
        <f t="shared" si="23"/>
        <v>7.2992700729927007</v>
      </c>
      <c r="G50" s="51">
        <f t="shared" si="24"/>
        <v>-33</v>
      </c>
      <c r="H50" s="7">
        <f t="shared" si="25"/>
        <v>-7.6388888888888893</v>
      </c>
      <c r="I50" s="51">
        <f t="shared" si="26"/>
        <v>-66</v>
      </c>
      <c r="J50" s="7">
        <f t="shared" si="27"/>
        <v>-14.193548387096774</v>
      </c>
    </row>
    <row r="51" spans="2:10" x14ac:dyDescent="0.25">
      <c r="B51" s="177" t="s">
        <v>21</v>
      </c>
      <c r="C51" s="51">
        <f t="shared" si="20"/>
        <v>8</v>
      </c>
      <c r="D51" s="7">
        <f t="shared" si="21"/>
        <v>1.5904572564612327</v>
      </c>
      <c r="E51" s="51">
        <f t="shared" si="22"/>
        <v>130</v>
      </c>
      <c r="F51" s="7">
        <f t="shared" si="23"/>
        <v>34.120734908136484</v>
      </c>
      <c r="G51" s="51">
        <f t="shared" si="24"/>
        <v>12</v>
      </c>
      <c r="H51" s="7">
        <f t="shared" si="25"/>
        <v>2.197802197802198</v>
      </c>
      <c r="I51" s="51">
        <f t="shared" si="26"/>
        <v>19</v>
      </c>
      <c r="J51" s="7">
        <f t="shared" si="27"/>
        <v>3.5250463821892395</v>
      </c>
    </row>
    <row r="52" spans="2:10" x14ac:dyDescent="0.25">
      <c r="B52" s="177" t="s">
        <v>22</v>
      </c>
      <c r="C52" s="51">
        <f t="shared" si="20"/>
        <v>-57</v>
      </c>
      <c r="D52" s="7">
        <f t="shared" si="21"/>
        <v>-12.337662337662337</v>
      </c>
      <c r="E52" s="51">
        <f t="shared" si="22"/>
        <v>-7</v>
      </c>
      <c r="F52" s="7">
        <f t="shared" si="23"/>
        <v>-1.6990291262135921</v>
      </c>
      <c r="G52" s="51">
        <f t="shared" si="24"/>
        <v>-43</v>
      </c>
      <c r="H52" s="7">
        <f t="shared" si="25"/>
        <v>-9.862385321100918</v>
      </c>
      <c r="I52" s="51">
        <f t="shared" si="26"/>
        <v>13</v>
      </c>
      <c r="J52" s="7">
        <f t="shared" si="27"/>
        <v>3.4210526315789473</v>
      </c>
    </row>
    <row r="53" spans="2:10" x14ac:dyDescent="0.25">
      <c r="B53" s="177" t="s">
        <v>23</v>
      </c>
      <c r="C53" s="51">
        <f t="shared" si="20"/>
        <v>-146</v>
      </c>
      <c r="D53" s="7">
        <f t="shared" si="21"/>
        <v>-15.433403805496829</v>
      </c>
      <c r="E53" s="51">
        <f t="shared" si="22"/>
        <v>-98</v>
      </c>
      <c r="F53" s="7">
        <f t="shared" si="23"/>
        <v>-10.913140311804009</v>
      </c>
      <c r="G53" s="51">
        <f t="shared" si="24"/>
        <v>-69</v>
      </c>
      <c r="H53" s="7">
        <f t="shared" si="25"/>
        <v>-9.4650205761316872</v>
      </c>
      <c r="I53" s="51">
        <f t="shared" si="26"/>
        <v>-70</v>
      </c>
      <c r="J53" s="7">
        <f t="shared" si="27"/>
        <v>-9.5890410958904102</v>
      </c>
    </row>
    <row r="54" spans="2:10" x14ac:dyDescent="0.25">
      <c r="B54" s="177" t="s">
        <v>24</v>
      </c>
      <c r="C54" s="51">
        <f t="shared" si="20"/>
        <v>-118</v>
      </c>
      <c r="D54" s="7">
        <f t="shared" si="21"/>
        <v>-22.138836772983115</v>
      </c>
      <c r="E54" s="51">
        <f t="shared" si="22"/>
        <v>-8</v>
      </c>
      <c r="F54" s="7">
        <f t="shared" si="23"/>
        <v>-1.8912529550827424</v>
      </c>
      <c r="G54" s="51">
        <f t="shared" si="24"/>
        <v>-42</v>
      </c>
      <c r="H54" s="7">
        <f t="shared" si="25"/>
        <v>-8.4</v>
      </c>
      <c r="I54" s="51">
        <f t="shared" si="26"/>
        <v>-1</v>
      </c>
      <c r="J54" s="7">
        <f t="shared" si="27"/>
        <v>-0.2178649237472767</v>
      </c>
    </row>
    <row r="55" spans="2:10" x14ac:dyDescent="0.25">
      <c r="B55" s="177" t="s">
        <v>25</v>
      </c>
      <c r="C55" s="51">
        <f t="shared" si="20"/>
        <v>-66</v>
      </c>
      <c r="D55" s="7">
        <f t="shared" si="21"/>
        <v>-8.8000000000000007</v>
      </c>
      <c r="E55" s="51">
        <f t="shared" si="22"/>
        <v>-111</v>
      </c>
      <c r="F55" s="7">
        <f t="shared" si="23"/>
        <v>-13.962264150943396</v>
      </c>
      <c r="G55" s="51">
        <f t="shared" si="24"/>
        <v>-85</v>
      </c>
      <c r="H55" s="7">
        <f t="shared" si="25"/>
        <v>-13.137557959814529</v>
      </c>
      <c r="I55" s="51">
        <f t="shared" si="26"/>
        <v>-129</v>
      </c>
      <c r="J55" s="7">
        <f t="shared" si="27"/>
        <v>-18.668596237337191</v>
      </c>
    </row>
    <row r="56" spans="2:10" x14ac:dyDescent="0.25">
      <c r="B56" s="177" t="s">
        <v>26</v>
      </c>
      <c r="C56" s="51">
        <f t="shared" si="20"/>
        <v>99</v>
      </c>
      <c r="D56" s="7">
        <f t="shared" si="21"/>
        <v>15.566037735849056</v>
      </c>
      <c r="E56" s="51">
        <f t="shared" si="22"/>
        <v>159</v>
      </c>
      <c r="F56" s="7">
        <f t="shared" si="23"/>
        <v>27.604166666666668</v>
      </c>
      <c r="G56" s="51">
        <f t="shared" si="24"/>
        <v>27</v>
      </c>
      <c r="H56" s="7">
        <f t="shared" si="25"/>
        <v>3.9823008849557522</v>
      </c>
      <c r="I56" s="51">
        <f t="shared" si="26"/>
        <v>24</v>
      </c>
      <c r="J56" s="7">
        <f t="shared" si="27"/>
        <v>3.5242290748898677</v>
      </c>
    </row>
    <row r="57" spans="2:10" x14ac:dyDescent="0.25">
      <c r="B57" s="177" t="s">
        <v>27</v>
      </c>
      <c r="C57" s="51">
        <f t="shared" si="20"/>
        <v>-100</v>
      </c>
      <c r="D57" s="7">
        <f t="shared" si="21"/>
        <v>-11.312217194570136</v>
      </c>
      <c r="E57" s="51">
        <f t="shared" si="22"/>
        <v>-7</v>
      </c>
      <c r="F57" s="7">
        <f t="shared" si="23"/>
        <v>-0.88495575221238942</v>
      </c>
      <c r="G57" s="51">
        <f t="shared" si="24"/>
        <v>-24</v>
      </c>
      <c r="H57" s="7">
        <f t="shared" si="25"/>
        <v>-3.1496062992125986</v>
      </c>
      <c r="I57" s="51">
        <f t="shared" si="26"/>
        <v>-49</v>
      </c>
      <c r="J57" s="7">
        <f t="shared" si="27"/>
        <v>-6.2261753494282086</v>
      </c>
    </row>
    <row r="58" spans="2:10" x14ac:dyDescent="0.25">
      <c r="B58" s="178" t="s">
        <v>28</v>
      </c>
      <c r="C58" s="51">
        <f t="shared" si="20"/>
        <v>-135</v>
      </c>
      <c r="D58" s="7">
        <f t="shared" si="21"/>
        <v>-16.052318668252081</v>
      </c>
      <c r="E58" s="51">
        <f t="shared" si="22"/>
        <v>-81</v>
      </c>
      <c r="F58" s="7">
        <f t="shared" si="23"/>
        <v>-10.292249047013977</v>
      </c>
      <c r="G58" s="51">
        <f t="shared" si="24"/>
        <v>-80</v>
      </c>
      <c r="H58" s="7">
        <f t="shared" si="25"/>
        <v>-10.296010296010296</v>
      </c>
      <c r="I58" s="51">
        <f t="shared" si="26"/>
        <v>-37</v>
      </c>
      <c r="J58" s="7">
        <f t="shared" si="27"/>
        <v>-5.0408719346049047</v>
      </c>
    </row>
    <row r="59" spans="2:10" x14ac:dyDescent="0.25">
      <c r="B59" s="178" t="s">
        <v>29</v>
      </c>
      <c r="C59" s="51">
        <f t="shared" si="20"/>
        <v>-207</v>
      </c>
      <c r="D59" s="7">
        <f t="shared" si="21"/>
        <v>-19.546742209631727</v>
      </c>
      <c r="E59" s="51">
        <f t="shared" si="22"/>
        <v>-97</v>
      </c>
      <c r="F59" s="7">
        <f t="shared" si="23"/>
        <v>-10.221285563751318</v>
      </c>
      <c r="G59" s="51">
        <f t="shared" si="24"/>
        <v>-80</v>
      </c>
      <c r="H59" s="7">
        <f t="shared" si="25"/>
        <v>-10.854816824966079</v>
      </c>
      <c r="I59" s="51">
        <f t="shared" si="26"/>
        <v>-64</v>
      </c>
      <c r="J59" s="7">
        <f t="shared" si="27"/>
        <v>-8.8765603328710121</v>
      </c>
    </row>
    <row r="60" spans="2:10" x14ac:dyDescent="0.25">
      <c r="B60" s="178" t="s">
        <v>30</v>
      </c>
      <c r="C60" s="51">
        <f t="shared" si="20"/>
        <v>-28</v>
      </c>
      <c r="D60" s="7">
        <f t="shared" si="21"/>
        <v>-3.6175710594315245</v>
      </c>
      <c r="E60" s="51">
        <f t="shared" si="22"/>
        <v>-80</v>
      </c>
      <c r="F60" s="7">
        <f t="shared" si="23"/>
        <v>-9.6852300242130749</v>
      </c>
      <c r="G60" s="51">
        <f t="shared" si="24"/>
        <v>-61</v>
      </c>
      <c r="H60" s="7">
        <f t="shared" si="25"/>
        <v>-9.7133757961783438</v>
      </c>
      <c r="I60" s="51">
        <f t="shared" si="26"/>
        <v>-102</v>
      </c>
      <c r="J60" s="7">
        <f t="shared" si="27"/>
        <v>-15.246636771300448</v>
      </c>
    </row>
    <row r="61" spans="2:10" x14ac:dyDescent="0.25">
      <c r="B61" s="178" t="s">
        <v>31</v>
      </c>
      <c r="C61" s="51">
        <f t="shared" si="20"/>
        <v>-183</v>
      </c>
      <c r="D61" s="7">
        <f t="shared" si="21"/>
        <v>-13.697604790419161</v>
      </c>
      <c r="E61" s="51">
        <f t="shared" si="22"/>
        <v>-157</v>
      </c>
      <c r="F61" s="7">
        <f t="shared" si="23"/>
        <v>-11.98473282442748</v>
      </c>
      <c r="G61" s="51">
        <f t="shared" si="24"/>
        <v>-128</v>
      </c>
      <c r="H61" s="7">
        <f t="shared" si="25"/>
        <v>-10.174880763116057</v>
      </c>
      <c r="I61" s="51">
        <f t="shared" si="26"/>
        <v>-88</v>
      </c>
      <c r="J61" s="7">
        <f t="shared" si="27"/>
        <v>-7.2249589490968802</v>
      </c>
    </row>
    <row r="62" spans="2:10" x14ac:dyDescent="0.25">
      <c r="B62" s="178" t="s">
        <v>32</v>
      </c>
      <c r="C62" s="51">
        <f t="shared" si="20"/>
        <v>-61</v>
      </c>
      <c r="D62" s="7">
        <f t="shared" si="21"/>
        <v>-8.2767978290366351</v>
      </c>
      <c r="E62" s="51">
        <f t="shared" si="22"/>
        <v>86</v>
      </c>
      <c r="F62" s="7">
        <f t="shared" si="23"/>
        <v>14.576271186440678</v>
      </c>
      <c r="G62" s="51">
        <f t="shared" si="24"/>
        <v>7</v>
      </c>
      <c r="H62" s="7">
        <f t="shared" si="25"/>
        <v>1.1475409836065573</v>
      </c>
      <c r="I62" s="51">
        <f t="shared" si="26"/>
        <v>27</v>
      </c>
      <c r="J62" s="7">
        <f t="shared" si="27"/>
        <v>4.5762711864406782</v>
      </c>
    </row>
    <row r="63" spans="2:10" x14ac:dyDescent="0.25">
      <c r="B63" s="178" t="s">
        <v>33</v>
      </c>
      <c r="C63" s="51">
        <f t="shared" si="20"/>
        <v>11</v>
      </c>
      <c r="D63" s="7">
        <f t="shared" si="21"/>
        <v>2.3206751054852321</v>
      </c>
      <c r="E63" s="51">
        <f t="shared" si="22"/>
        <v>39</v>
      </c>
      <c r="F63" s="7">
        <f t="shared" si="23"/>
        <v>8.7443946188340806</v>
      </c>
      <c r="G63" s="51">
        <f t="shared" si="24"/>
        <v>-34</v>
      </c>
      <c r="H63" s="7">
        <f t="shared" si="25"/>
        <v>-6.5134099616858236</v>
      </c>
      <c r="I63" s="51">
        <f t="shared" si="26"/>
        <v>-82</v>
      </c>
      <c r="J63" s="7">
        <f t="shared" si="27"/>
        <v>-14.385964912280702</v>
      </c>
    </row>
    <row r="64" spans="2:10" x14ac:dyDescent="0.25">
      <c r="B64" s="178" t="s">
        <v>34</v>
      </c>
      <c r="C64" s="51">
        <f t="shared" si="20"/>
        <v>-140</v>
      </c>
      <c r="D64" s="7">
        <f t="shared" si="21"/>
        <v>-14.973262032085561</v>
      </c>
      <c r="E64" s="51">
        <f t="shared" si="22"/>
        <v>-70</v>
      </c>
      <c r="F64" s="7">
        <f t="shared" si="23"/>
        <v>-8.0924855491329488</v>
      </c>
      <c r="G64" s="51">
        <f t="shared" si="24"/>
        <v>-55</v>
      </c>
      <c r="H64" s="7">
        <f t="shared" si="25"/>
        <v>-7.0512820512820511</v>
      </c>
      <c r="I64" s="51">
        <f t="shared" si="26"/>
        <v>-49</v>
      </c>
      <c r="J64" s="7">
        <f t="shared" si="27"/>
        <v>-6.3307493540051683</v>
      </c>
    </row>
    <row r="65" spans="2:10" x14ac:dyDescent="0.25">
      <c r="B65" s="178" t="s">
        <v>35</v>
      </c>
      <c r="C65" s="51">
        <f t="shared" si="20"/>
        <v>-23</v>
      </c>
      <c r="D65" s="7">
        <f t="shared" si="21"/>
        <v>-7.0987654320987659</v>
      </c>
      <c r="E65" s="51">
        <f t="shared" si="22"/>
        <v>-38</v>
      </c>
      <c r="F65" s="7">
        <f t="shared" si="23"/>
        <v>-11.2094395280236</v>
      </c>
      <c r="G65" s="51">
        <f t="shared" si="24"/>
        <v>-23</v>
      </c>
      <c r="H65" s="7">
        <f t="shared" si="25"/>
        <v>-6.2841530054644812</v>
      </c>
      <c r="I65" s="51">
        <f t="shared" si="26"/>
        <v>-36</v>
      </c>
      <c r="J65" s="7">
        <f t="shared" si="27"/>
        <v>-9.4986807387862804</v>
      </c>
    </row>
    <row r="66" spans="2:10" x14ac:dyDescent="0.25">
      <c r="B66" s="178" t="s">
        <v>36</v>
      </c>
      <c r="C66" s="51">
        <f t="shared" si="20"/>
        <v>-1</v>
      </c>
      <c r="D66" s="7">
        <f t="shared" si="21"/>
        <v>-0.80645161290322576</v>
      </c>
      <c r="E66" s="51">
        <f t="shared" si="22"/>
        <v>10</v>
      </c>
      <c r="F66" s="7">
        <f t="shared" si="23"/>
        <v>8.8495575221238933</v>
      </c>
      <c r="G66" s="51">
        <f t="shared" si="24"/>
        <v>6</v>
      </c>
      <c r="H66" s="7">
        <f t="shared" si="25"/>
        <v>3.5502958579881656</v>
      </c>
      <c r="I66" s="51">
        <f t="shared" si="26"/>
        <v>-12</v>
      </c>
      <c r="J66" s="7">
        <f t="shared" si="27"/>
        <v>-6.4171122994652405</v>
      </c>
    </row>
    <row r="67" spans="2:10" x14ac:dyDescent="0.25">
      <c r="B67" s="178" t="s">
        <v>37</v>
      </c>
      <c r="C67" s="51">
        <f t="shared" si="20"/>
        <v>-8</v>
      </c>
      <c r="D67" s="7">
        <f t="shared" si="21"/>
        <v>-1.8475750577367205</v>
      </c>
      <c r="E67" s="51">
        <f t="shared" si="22"/>
        <v>18</v>
      </c>
      <c r="F67" s="7">
        <f t="shared" si="23"/>
        <v>4.4226044226044223</v>
      </c>
      <c r="G67" s="51">
        <f t="shared" si="24"/>
        <v>-20</v>
      </c>
      <c r="H67" s="7">
        <f t="shared" si="25"/>
        <v>-2.6917900403768504</v>
      </c>
      <c r="I67" s="51">
        <f t="shared" si="26"/>
        <v>-33</v>
      </c>
      <c r="J67" s="7">
        <f t="shared" si="27"/>
        <v>-4.3650793650793647</v>
      </c>
    </row>
    <row r="68" spans="2:10" x14ac:dyDescent="0.25">
      <c r="B68" s="178" t="s">
        <v>38</v>
      </c>
      <c r="C68" s="51">
        <f t="shared" si="20"/>
        <v>-34</v>
      </c>
      <c r="D68" s="7">
        <f t="shared" si="21"/>
        <v>-3.3864541832669324</v>
      </c>
      <c r="E68" s="51">
        <f t="shared" si="22"/>
        <v>-38</v>
      </c>
      <c r="F68" s="7">
        <f t="shared" si="23"/>
        <v>-3.7698412698412698</v>
      </c>
      <c r="G68" s="51">
        <f t="shared" si="24"/>
        <v>-64</v>
      </c>
      <c r="H68" s="7">
        <f t="shared" si="25"/>
        <v>-4.3331076506431954</v>
      </c>
      <c r="I68" s="51">
        <f t="shared" si="26"/>
        <v>-169</v>
      </c>
      <c r="J68" s="7">
        <f t="shared" si="27"/>
        <v>-10.6826801517067</v>
      </c>
    </row>
    <row r="69" spans="2:10" ht="15.75" thickBot="1" x14ac:dyDescent="0.3">
      <c r="B69" s="179" t="s">
        <v>39</v>
      </c>
      <c r="C69" s="3">
        <f t="shared" si="20"/>
        <v>-4</v>
      </c>
      <c r="D69" s="8">
        <f t="shared" si="21"/>
        <v>-2.0100502512562812</v>
      </c>
      <c r="E69" s="3">
        <f t="shared" si="22"/>
        <v>-23</v>
      </c>
      <c r="F69" s="8">
        <f t="shared" si="23"/>
        <v>-10.55045871559633</v>
      </c>
      <c r="G69" s="3">
        <f t="shared" si="24"/>
        <v>-24</v>
      </c>
      <c r="H69" s="8">
        <f t="shared" si="25"/>
        <v>-7.5709779179810726</v>
      </c>
      <c r="I69" s="3">
        <f t="shared" si="26"/>
        <v>-68</v>
      </c>
      <c r="J69" s="8">
        <f t="shared" si="27"/>
        <v>-18.83656509695291</v>
      </c>
    </row>
  </sheetData>
  <mergeCells count="23">
    <mergeCell ref="B39:B43"/>
    <mergeCell ref="I4:N4"/>
    <mergeCell ref="I5:K5"/>
    <mergeCell ref="L5:N5"/>
    <mergeCell ref="I6:I7"/>
    <mergeCell ref="J6:K6"/>
    <mergeCell ref="D6:E6"/>
    <mergeCell ref="F6:F7"/>
    <mergeCell ref="G6:H6"/>
    <mergeCell ref="B3:B7"/>
    <mergeCell ref="C4:H4"/>
    <mergeCell ref="L6:L7"/>
    <mergeCell ref="M6:N6"/>
    <mergeCell ref="C5:E5"/>
    <mergeCell ref="F5:H5"/>
    <mergeCell ref="C6:C7"/>
    <mergeCell ref="O4:T4"/>
    <mergeCell ref="O5:Q5"/>
    <mergeCell ref="R5:T5"/>
    <mergeCell ref="O6:O7"/>
    <mergeCell ref="P6:Q6"/>
    <mergeCell ref="R6:R7"/>
    <mergeCell ref="S6:T6"/>
  </mergeCells>
  <printOptions horizontalCentered="1"/>
  <pageMargins left="0.31496062992125984" right="3.937007874015748E-2" top="0.6692913385826772" bottom="3.937007874015748E-2" header="3.937007874015748E-2" footer="0"/>
  <pageSetup paperSize="9" scale="5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 tint="0.59999389629810485"/>
  </sheetPr>
  <dimension ref="B1:N68"/>
  <sheetViews>
    <sheetView zoomScale="80" zoomScaleNormal="80" workbookViewId="0">
      <selection activeCell="B1" sqref="B1"/>
    </sheetView>
  </sheetViews>
  <sheetFormatPr defaultColWidth="9.140625" defaultRowHeight="15" x14ac:dyDescent="0.25"/>
  <cols>
    <col min="1" max="1" width="3.85546875" style="78" customWidth="1"/>
    <col min="2" max="2" width="30.28515625" style="78" customWidth="1"/>
    <col min="3" max="3" width="15.28515625" style="78" customWidth="1"/>
    <col min="4" max="4" width="14.7109375" style="78" customWidth="1"/>
    <col min="5" max="5" width="14.140625" style="78" customWidth="1"/>
    <col min="6" max="6" width="13.85546875" style="78" customWidth="1"/>
    <col min="7" max="7" width="13.7109375" style="78" customWidth="1"/>
    <col min="8" max="8" width="13.85546875" style="78" customWidth="1"/>
    <col min="9" max="9" width="12.85546875" style="78" customWidth="1"/>
    <col min="10" max="10" width="12.5703125" style="78" customWidth="1"/>
    <col min="11" max="11" width="14.85546875" style="78" customWidth="1"/>
    <col min="12" max="12" width="13" style="78" customWidth="1"/>
    <col min="13" max="13" width="14.140625" style="78" customWidth="1"/>
    <col min="14" max="14" width="13.28515625" style="78" customWidth="1"/>
    <col min="15" max="15" width="14.28515625" style="78" customWidth="1"/>
    <col min="16" max="16384" width="9.140625" style="78"/>
  </cols>
  <sheetData>
    <row r="1" spans="2:14" x14ac:dyDescent="0.25">
      <c r="B1" s="11" t="s">
        <v>375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2:14" ht="16.5" customHeight="1" thickBot="1" x14ac:dyDescent="0.3">
      <c r="B2" s="11" t="s">
        <v>267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49"/>
      <c r="N2" s="300"/>
    </row>
    <row r="3" spans="2:14" x14ac:dyDescent="0.25">
      <c r="B3" s="931" t="s">
        <v>103</v>
      </c>
      <c r="C3" s="903" t="s">
        <v>412</v>
      </c>
      <c r="D3" s="929"/>
      <c r="E3" s="906"/>
      <c r="F3" s="903" t="s">
        <v>485</v>
      </c>
      <c r="G3" s="929"/>
      <c r="H3" s="906"/>
      <c r="I3" s="903" t="s">
        <v>486</v>
      </c>
      <c r="J3" s="929"/>
      <c r="K3" s="904"/>
    </row>
    <row r="4" spans="2:14" ht="19.5" customHeight="1" x14ac:dyDescent="0.25">
      <c r="B4" s="989"/>
      <c r="C4" s="1001" t="s">
        <v>155</v>
      </c>
      <c r="D4" s="1002"/>
      <c r="E4" s="1004"/>
      <c r="F4" s="1001" t="s">
        <v>155</v>
      </c>
      <c r="G4" s="1002"/>
      <c r="H4" s="1004"/>
      <c r="I4" s="1001" t="s">
        <v>155</v>
      </c>
      <c r="J4" s="1002"/>
      <c r="K4" s="1003"/>
    </row>
    <row r="5" spans="2:14" ht="17.25" customHeight="1" x14ac:dyDescent="0.25">
      <c r="B5" s="989"/>
      <c r="C5" s="998" t="s">
        <v>4</v>
      </c>
      <c r="D5" s="996" t="s">
        <v>94</v>
      </c>
      <c r="E5" s="1005"/>
      <c r="F5" s="998" t="s">
        <v>4</v>
      </c>
      <c r="G5" s="996" t="s">
        <v>94</v>
      </c>
      <c r="H5" s="1005"/>
      <c r="I5" s="998" t="s">
        <v>4</v>
      </c>
      <c r="J5" s="996" t="s">
        <v>94</v>
      </c>
      <c r="K5" s="997"/>
    </row>
    <row r="6" spans="2:14" ht="23.25" customHeight="1" thickBot="1" x14ac:dyDescent="0.3">
      <c r="B6" s="944"/>
      <c r="C6" s="980"/>
      <c r="D6" s="540" t="s">
        <v>107</v>
      </c>
      <c r="E6" s="748" t="s">
        <v>414</v>
      </c>
      <c r="F6" s="980"/>
      <c r="G6" s="540" t="s">
        <v>107</v>
      </c>
      <c r="H6" s="748" t="s">
        <v>414</v>
      </c>
      <c r="I6" s="980"/>
      <c r="J6" s="540" t="s">
        <v>107</v>
      </c>
      <c r="K6" s="701" t="s">
        <v>414</v>
      </c>
    </row>
    <row r="7" spans="2:14" ht="27" customHeight="1" thickBot="1" x14ac:dyDescent="0.3">
      <c r="B7" s="268" t="s">
        <v>14</v>
      </c>
      <c r="C7" s="269">
        <f>SUM(C8:C32)</f>
        <v>42099</v>
      </c>
      <c r="D7" s="270">
        <f>SUM(D8:D32)</f>
        <v>23832</v>
      </c>
      <c r="E7" s="272">
        <f>D7*100/C7</f>
        <v>56.609420651321884</v>
      </c>
      <c r="F7" s="269">
        <f>SUM(F8:F32)</f>
        <v>39902</v>
      </c>
      <c r="G7" s="270">
        <f>SUM(G8:G32)</f>
        <v>22274</v>
      </c>
      <c r="H7" s="272">
        <f>G7*100/F7</f>
        <v>55.82176332013433</v>
      </c>
      <c r="I7" s="269">
        <f>SUM(I8:I32)</f>
        <v>37173</v>
      </c>
      <c r="J7" s="270">
        <f>SUM(J8:J32)</f>
        <v>20781</v>
      </c>
      <c r="K7" s="271">
        <f>J7*100/I7</f>
        <v>55.903478331046728</v>
      </c>
    </row>
    <row r="8" spans="2:14" ht="15.75" thickTop="1" x14ac:dyDescent="0.25">
      <c r="B8" s="176" t="s">
        <v>15</v>
      </c>
      <c r="C8" s="180">
        <v>651</v>
      </c>
      <c r="D8" s="181">
        <v>369</v>
      </c>
      <c r="E8" s="273">
        <f t="shared" ref="E8:E31" si="0">D8*100/C8</f>
        <v>56.682027649769587</v>
      </c>
      <c r="F8" s="180">
        <v>663</v>
      </c>
      <c r="G8" s="181">
        <v>360</v>
      </c>
      <c r="H8" s="273">
        <f t="shared" ref="H8:H31" si="1">G8*100/F8</f>
        <v>54.298642533936651</v>
      </c>
      <c r="I8" s="180">
        <v>601</v>
      </c>
      <c r="J8" s="181">
        <v>324</v>
      </c>
      <c r="K8" s="55">
        <f t="shared" ref="K8:K32" si="2">J8*100/I8</f>
        <v>53.910149750415975</v>
      </c>
    </row>
    <row r="9" spans="2:14" x14ac:dyDescent="0.25">
      <c r="B9" s="177" t="s">
        <v>16</v>
      </c>
      <c r="C9" s="51">
        <v>2617</v>
      </c>
      <c r="D9" s="9">
        <v>1504</v>
      </c>
      <c r="E9" s="273">
        <f t="shared" si="0"/>
        <v>57.47038593809706</v>
      </c>
      <c r="F9" s="51">
        <v>2603</v>
      </c>
      <c r="G9" s="9">
        <v>1459</v>
      </c>
      <c r="H9" s="273">
        <f t="shared" si="1"/>
        <v>56.050710718401845</v>
      </c>
      <c r="I9" s="51">
        <v>2379</v>
      </c>
      <c r="J9" s="9">
        <v>1348</v>
      </c>
      <c r="K9" s="55">
        <f t="shared" si="2"/>
        <v>56.662463219840269</v>
      </c>
    </row>
    <row r="10" spans="2:14" x14ac:dyDescent="0.25">
      <c r="B10" s="177" t="s">
        <v>17</v>
      </c>
      <c r="C10" s="51">
        <v>1204</v>
      </c>
      <c r="D10" s="9">
        <v>854</v>
      </c>
      <c r="E10" s="273">
        <f t="shared" si="0"/>
        <v>70.930232558139537</v>
      </c>
      <c r="F10" s="51">
        <v>1075</v>
      </c>
      <c r="G10" s="9">
        <v>752</v>
      </c>
      <c r="H10" s="273">
        <f t="shared" si="1"/>
        <v>69.95348837209302</v>
      </c>
      <c r="I10" s="51">
        <v>979</v>
      </c>
      <c r="J10" s="9">
        <v>689</v>
      </c>
      <c r="K10" s="55">
        <f t="shared" si="2"/>
        <v>70.377936670071506</v>
      </c>
    </row>
    <row r="11" spans="2:14" x14ac:dyDescent="0.25">
      <c r="B11" s="177" t="s">
        <v>18</v>
      </c>
      <c r="C11" s="51">
        <v>2937</v>
      </c>
      <c r="D11" s="9">
        <v>1708</v>
      </c>
      <c r="E11" s="273">
        <f t="shared" si="0"/>
        <v>58.154579502894109</v>
      </c>
      <c r="F11" s="51">
        <v>2827</v>
      </c>
      <c r="G11" s="9">
        <v>1606</v>
      </c>
      <c r="H11" s="273">
        <f t="shared" si="1"/>
        <v>56.809338521400775</v>
      </c>
      <c r="I11" s="51">
        <v>2531</v>
      </c>
      <c r="J11" s="9">
        <v>1458</v>
      </c>
      <c r="K11" s="55">
        <f t="shared" si="2"/>
        <v>57.605689450809955</v>
      </c>
    </row>
    <row r="12" spans="2:14" x14ac:dyDescent="0.25">
      <c r="B12" s="177" t="s">
        <v>19</v>
      </c>
      <c r="C12" s="51">
        <v>3179</v>
      </c>
      <c r="D12" s="9">
        <v>2016</v>
      </c>
      <c r="E12" s="273">
        <f t="shared" si="0"/>
        <v>63.416168606480028</v>
      </c>
      <c r="F12" s="51">
        <v>3047</v>
      </c>
      <c r="G12" s="9">
        <v>1885</v>
      </c>
      <c r="H12" s="273">
        <f t="shared" si="1"/>
        <v>61.864128651132262</v>
      </c>
      <c r="I12" s="51">
        <v>2906</v>
      </c>
      <c r="J12" s="9">
        <v>1839</v>
      </c>
      <c r="K12" s="55">
        <f t="shared" si="2"/>
        <v>63.282863041982104</v>
      </c>
    </row>
    <row r="13" spans="2:14" x14ac:dyDescent="0.25">
      <c r="B13" s="177" t="s">
        <v>20</v>
      </c>
      <c r="C13" s="51">
        <v>851</v>
      </c>
      <c r="D13" s="9">
        <v>492</v>
      </c>
      <c r="E13" s="273">
        <f t="shared" si="0"/>
        <v>57.814336075205638</v>
      </c>
      <c r="F13" s="51">
        <v>815</v>
      </c>
      <c r="G13" s="9">
        <v>459</v>
      </c>
      <c r="H13" s="273">
        <f t="shared" si="1"/>
        <v>56.319018404907979</v>
      </c>
      <c r="I13" s="51">
        <v>760</v>
      </c>
      <c r="J13" s="9">
        <v>425</v>
      </c>
      <c r="K13" s="55">
        <f t="shared" si="2"/>
        <v>55.921052631578945</v>
      </c>
    </row>
    <row r="14" spans="2:14" x14ac:dyDescent="0.25">
      <c r="B14" s="177" t="s">
        <v>21</v>
      </c>
      <c r="C14" s="51">
        <v>954</v>
      </c>
      <c r="D14" s="9">
        <v>550</v>
      </c>
      <c r="E14" s="273">
        <f t="shared" si="0"/>
        <v>57.651991614255763</v>
      </c>
      <c r="F14" s="51">
        <v>959</v>
      </c>
      <c r="G14" s="9">
        <v>559</v>
      </c>
      <c r="H14" s="273">
        <f t="shared" si="1"/>
        <v>58.289885297184568</v>
      </c>
      <c r="I14" s="51">
        <v>935</v>
      </c>
      <c r="J14" s="9">
        <v>564</v>
      </c>
      <c r="K14" s="55">
        <f t="shared" si="2"/>
        <v>60.320855614973262</v>
      </c>
    </row>
    <row r="15" spans="2:14" x14ac:dyDescent="0.25">
      <c r="B15" s="177" t="s">
        <v>22</v>
      </c>
      <c r="C15" s="51">
        <v>1022</v>
      </c>
      <c r="D15" s="9">
        <v>485</v>
      </c>
      <c r="E15" s="273">
        <f t="shared" si="0"/>
        <v>47.455968688845402</v>
      </c>
      <c r="F15" s="51">
        <v>1065</v>
      </c>
      <c r="G15" s="9">
        <v>497</v>
      </c>
      <c r="H15" s="273">
        <f t="shared" si="1"/>
        <v>46.666666666666664</v>
      </c>
      <c r="I15" s="51">
        <v>1048</v>
      </c>
      <c r="J15" s="9">
        <v>484</v>
      </c>
      <c r="K15" s="55">
        <f t="shared" si="2"/>
        <v>46.18320610687023</v>
      </c>
    </row>
    <row r="16" spans="2:14" x14ac:dyDescent="0.25">
      <c r="B16" s="177" t="s">
        <v>23</v>
      </c>
      <c r="C16" s="51">
        <v>2077</v>
      </c>
      <c r="D16" s="9">
        <v>1154</v>
      </c>
      <c r="E16" s="273">
        <f t="shared" si="0"/>
        <v>55.560905151661046</v>
      </c>
      <c r="F16" s="51">
        <v>1947</v>
      </c>
      <c r="G16" s="9">
        <v>1107</v>
      </c>
      <c r="H16" s="273">
        <f t="shared" si="1"/>
        <v>56.856702619414484</v>
      </c>
      <c r="I16" s="51">
        <v>1763</v>
      </c>
      <c r="J16" s="9">
        <v>1030</v>
      </c>
      <c r="K16" s="55">
        <f>J16*100/I16</f>
        <v>58.423142370958594</v>
      </c>
    </row>
    <row r="17" spans="2:11" x14ac:dyDescent="0.25">
      <c r="B17" s="177" t="s">
        <v>24</v>
      </c>
      <c r="C17" s="51">
        <v>982</v>
      </c>
      <c r="D17" s="9">
        <v>485</v>
      </c>
      <c r="E17" s="273">
        <f t="shared" si="0"/>
        <v>49.389002036659875</v>
      </c>
      <c r="F17" s="51">
        <v>993</v>
      </c>
      <c r="G17" s="9">
        <v>489</v>
      </c>
      <c r="H17" s="273">
        <f t="shared" si="1"/>
        <v>49.244712990936556</v>
      </c>
      <c r="I17" s="51">
        <v>866</v>
      </c>
      <c r="J17" s="9">
        <v>422</v>
      </c>
      <c r="K17" s="55">
        <f t="shared" si="2"/>
        <v>48.729792147806002</v>
      </c>
    </row>
    <row r="18" spans="2:11" x14ac:dyDescent="0.25">
      <c r="B18" s="177" t="s">
        <v>25</v>
      </c>
      <c r="C18" s="51">
        <v>1601</v>
      </c>
      <c r="D18" s="9">
        <v>851</v>
      </c>
      <c r="E18" s="273">
        <f t="shared" si="0"/>
        <v>53.154278575890068</v>
      </c>
      <c r="F18" s="51">
        <v>1407</v>
      </c>
      <c r="G18" s="9">
        <v>728</v>
      </c>
      <c r="H18" s="273">
        <f t="shared" si="1"/>
        <v>51.741293532338311</v>
      </c>
      <c r="I18" s="51">
        <v>1301</v>
      </c>
      <c r="J18" s="9">
        <v>686</v>
      </c>
      <c r="K18" s="55">
        <f t="shared" si="2"/>
        <v>52.728670253651039</v>
      </c>
    </row>
    <row r="19" spans="2:11" x14ac:dyDescent="0.25">
      <c r="B19" s="177" t="s">
        <v>26</v>
      </c>
      <c r="C19" s="51">
        <v>1287</v>
      </c>
      <c r="D19" s="9">
        <v>706</v>
      </c>
      <c r="E19" s="273">
        <f t="shared" si="0"/>
        <v>54.856254856254857</v>
      </c>
      <c r="F19" s="51">
        <v>1215</v>
      </c>
      <c r="G19" s="9">
        <v>650</v>
      </c>
      <c r="H19" s="273">
        <f t="shared" si="1"/>
        <v>53.497942386831276</v>
      </c>
      <c r="I19" s="51">
        <v>1238</v>
      </c>
      <c r="J19" s="9">
        <v>664</v>
      </c>
      <c r="K19" s="55">
        <f t="shared" si="2"/>
        <v>53.634894991922458</v>
      </c>
    </row>
    <row r="20" spans="2:11" x14ac:dyDescent="0.25">
      <c r="B20" s="177" t="s">
        <v>27</v>
      </c>
      <c r="C20" s="51">
        <v>1906</v>
      </c>
      <c r="D20" s="9">
        <v>1054</v>
      </c>
      <c r="E20" s="273">
        <f t="shared" si="0"/>
        <v>55.299055613850996</v>
      </c>
      <c r="F20" s="51">
        <v>1757</v>
      </c>
      <c r="G20" s="9">
        <v>993</v>
      </c>
      <c r="H20" s="273">
        <f t="shared" si="1"/>
        <v>56.516789982925438</v>
      </c>
      <c r="I20" s="51">
        <v>1742</v>
      </c>
      <c r="J20" s="9">
        <v>958</v>
      </c>
      <c r="K20" s="55">
        <f t="shared" si="2"/>
        <v>54.994259471871409</v>
      </c>
    </row>
    <row r="21" spans="2:11" x14ac:dyDescent="0.25">
      <c r="B21" s="178" t="s">
        <v>28</v>
      </c>
      <c r="C21" s="107">
        <v>1962</v>
      </c>
      <c r="D21" s="108">
        <v>1124</v>
      </c>
      <c r="E21" s="273">
        <f t="shared" si="0"/>
        <v>57.288481141692152</v>
      </c>
      <c r="F21" s="107">
        <v>1889</v>
      </c>
      <c r="G21" s="108">
        <v>1059</v>
      </c>
      <c r="H21" s="273">
        <f t="shared" si="1"/>
        <v>56.061408152461617</v>
      </c>
      <c r="I21" s="107">
        <v>1755</v>
      </c>
      <c r="J21" s="108">
        <v>971</v>
      </c>
      <c r="K21" s="55">
        <f t="shared" si="2"/>
        <v>55.327635327635328</v>
      </c>
    </row>
    <row r="22" spans="2:11" x14ac:dyDescent="0.25">
      <c r="B22" s="178" t="s">
        <v>29</v>
      </c>
      <c r="C22" s="107">
        <v>2227</v>
      </c>
      <c r="D22" s="108">
        <v>1370</v>
      </c>
      <c r="E22" s="273">
        <f t="shared" si="0"/>
        <v>61.517736865738662</v>
      </c>
      <c r="F22" s="107">
        <v>2234</v>
      </c>
      <c r="G22" s="108">
        <v>1354</v>
      </c>
      <c r="H22" s="273">
        <f t="shared" si="1"/>
        <v>60.608773500447626</v>
      </c>
      <c r="I22" s="107">
        <v>1959</v>
      </c>
      <c r="J22" s="108">
        <v>1167</v>
      </c>
      <c r="K22" s="55">
        <f t="shared" si="2"/>
        <v>59.571209800918837</v>
      </c>
    </row>
    <row r="23" spans="2:11" x14ac:dyDescent="0.25">
      <c r="B23" s="178" t="s">
        <v>30</v>
      </c>
      <c r="C23" s="107">
        <v>1792</v>
      </c>
      <c r="D23" s="108">
        <v>1065</v>
      </c>
      <c r="E23" s="273">
        <f t="shared" si="0"/>
        <v>59.430803571428569</v>
      </c>
      <c r="F23" s="107">
        <v>1584</v>
      </c>
      <c r="G23" s="108">
        <v>918</v>
      </c>
      <c r="H23" s="273">
        <f t="shared" si="1"/>
        <v>57.954545454545453</v>
      </c>
      <c r="I23" s="107">
        <v>1405</v>
      </c>
      <c r="J23" s="108">
        <v>814</v>
      </c>
      <c r="K23" s="55">
        <f t="shared" si="2"/>
        <v>57.935943060498218</v>
      </c>
    </row>
    <row r="24" spans="2:11" x14ac:dyDescent="0.25">
      <c r="B24" s="178" t="s">
        <v>31</v>
      </c>
      <c r="C24" s="107">
        <v>3170</v>
      </c>
      <c r="D24" s="108">
        <v>1680</v>
      </c>
      <c r="E24" s="273">
        <f t="shared" si="0"/>
        <v>52.996845425867505</v>
      </c>
      <c r="F24" s="107">
        <v>3029</v>
      </c>
      <c r="G24" s="108">
        <v>1570</v>
      </c>
      <c r="H24" s="273">
        <f t="shared" si="1"/>
        <v>51.83228788379003</v>
      </c>
      <c r="I24" s="107">
        <v>2722</v>
      </c>
      <c r="J24" s="108">
        <v>1418</v>
      </c>
      <c r="K24" s="55">
        <f t="shared" si="2"/>
        <v>52.094048493754592</v>
      </c>
    </row>
    <row r="25" spans="2:11" x14ac:dyDescent="0.25">
      <c r="B25" s="178" t="s">
        <v>32</v>
      </c>
      <c r="C25" s="107">
        <v>1269</v>
      </c>
      <c r="D25" s="108">
        <v>670</v>
      </c>
      <c r="E25" s="273">
        <f t="shared" si="0"/>
        <v>52.797478329393222</v>
      </c>
      <c r="F25" s="107">
        <v>1323</v>
      </c>
      <c r="G25" s="108">
        <v>709</v>
      </c>
      <c r="H25" s="273">
        <f t="shared" si="1"/>
        <v>53.590325018896451</v>
      </c>
      <c r="I25" s="107">
        <v>1322</v>
      </c>
      <c r="J25" s="108">
        <v>704</v>
      </c>
      <c r="K25" s="55">
        <f t="shared" si="2"/>
        <v>53.25264750378215</v>
      </c>
    </row>
    <row r="26" spans="2:11" x14ac:dyDescent="0.25">
      <c r="B26" s="178" t="s">
        <v>33</v>
      </c>
      <c r="C26" s="107">
        <v>898</v>
      </c>
      <c r="D26" s="108">
        <v>526</v>
      </c>
      <c r="E26" s="273">
        <f t="shared" si="0"/>
        <v>58.574610244988861</v>
      </c>
      <c r="F26" s="107">
        <v>777</v>
      </c>
      <c r="G26" s="108">
        <v>451</v>
      </c>
      <c r="H26" s="273">
        <f t="shared" si="1"/>
        <v>58.043758043758046</v>
      </c>
      <c r="I26" s="107">
        <v>764</v>
      </c>
      <c r="J26" s="108">
        <v>449</v>
      </c>
      <c r="K26" s="55">
        <f t="shared" si="2"/>
        <v>58.769633507853406</v>
      </c>
    </row>
    <row r="27" spans="2:11" x14ac:dyDescent="0.25">
      <c r="B27" s="178" t="s">
        <v>34</v>
      </c>
      <c r="C27" s="107">
        <v>2188</v>
      </c>
      <c r="D27" s="108">
        <v>1280</v>
      </c>
      <c r="E27" s="273">
        <f t="shared" si="0"/>
        <v>58.50091407678245</v>
      </c>
      <c r="F27" s="107">
        <v>2073</v>
      </c>
      <c r="G27" s="108">
        <v>1196</v>
      </c>
      <c r="H27" s="273">
        <f t="shared" si="1"/>
        <v>57.694163048721663</v>
      </c>
      <c r="I27" s="107">
        <v>1918</v>
      </c>
      <c r="J27" s="108">
        <v>1098</v>
      </c>
      <c r="K27" s="55">
        <f t="shared" si="2"/>
        <v>57.247132429614183</v>
      </c>
    </row>
    <row r="28" spans="2:11" x14ac:dyDescent="0.25">
      <c r="B28" s="178" t="s">
        <v>35</v>
      </c>
      <c r="C28" s="107">
        <v>780</v>
      </c>
      <c r="D28" s="108">
        <v>439</v>
      </c>
      <c r="E28" s="273">
        <f t="shared" si="0"/>
        <v>56.282051282051285</v>
      </c>
      <c r="F28" s="107">
        <v>700</v>
      </c>
      <c r="G28" s="108">
        <v>392</v>
      </c>
      <c r="H28" s="273">
        <f t="shared" si="1"/>
        <v>56</v>
      </c>
      <c r="I28" s="107">
        <v>644</v>
      </c>
      <c r="J28" s="108">
        <v>353</v>
      </c>
      <c r="K28" s="55">
        <f t="shared" si="2"/>
        <v>54.813664596273291</v>
      </c>
    </row>
    <row r="29" spans="2:11" x14ac:dyDescent="0.25">
      <c r="B29" s="178" t="s">
        <v>36</v>
      </c>
      <c r="C29" s="107">
        <v>348</v>
      </c>
      <c r="D29" s="108">
        <v>205</v>
      </c>
      <c r="E29" s="273">
        <f t="shared" si="0"/>
        <v>58.908045977011497</v>
      </c>
      <c r="F29" s="107">
        <v>317</v>
      </c>
      <c r="G29" s="108">
        <v>181</v>
      </c>
      <c r="H29" s="273">
        <f t="shared" si="1"/>
        <v>57.097791798107252</v>
      </c>
      <c r="I29" s="107">
        <v>302</v>
      </c>
      <c r="J29" s="108">
        <v>182</v>
      </c>
      <c r="K29" s="55">
        <f t="shared" si="2"/>
        <v>60.264900662251655</v>
      </c>
    </row>
    <row r="30" spans="2:11" x14ac:dyDescent="0.25">
      <c r="B30" s="178" t="s">
        <v>37</v>
      </c>
      <c r="C30" s="107">
        <v>1733</v>
      </c>
      <c r="D30" s="108">
        <v>899</v>
      </c>
      <c r="E30" s="273">
        <f t="shared" si="0"/>
        <v>51.875360646278132</v>
      </c>
      <c r="F30" s="107">
        <v>1598</v>
      </c>
      <c r="G30" s="108">
        <v>824</v>
      </c>
      <c r="H30" s="273">
        <f t="shared" si="1"/>
        <v>51.564455569461828</v>
      </c>
      <c r="I30" s="107">
        <v>1557</v>
      </c>
      <c r="J30" s="108">
        <v>785</v>
      </c>
      <c r="K30" s="55">
        <f t="shared" si="2"/>
        <v>50.417469492614003</v>
      </c>
    </row>
    <row r="31" spans="2:11" x14ac:dyDescent="0.25">
      <c r="B31" s="178" t="s">
        <v>38</v>
      </c>
      <c r="C31" s="107">
        <v>3780</v>
      </c>
      <c r="D31" s="108">
        <v>1969</v>
      </c>
      <c r="E31" s="273">
        <f t="shared" si="0"/>
        <v>52.089947089947088</v>
      </c>
      <c r="F31" s="107">
        <v>3398</v>
      </c>
      <c r="G31" s="108">
        <v>1730</v>
      </c>
      <c r="H31" s="273">
        <f t="shared" si="1"/>
        <v>50.91230135373749</v>
      </c>
      <c r="I31" s="107">
        <v>3239</v>
      </c>
      <c r="J31" s="108">
        <v>1639</v>
      </c>
      <c r="K31" s="55">
        <f t="shared" si="2"/>
        <v>50.602037665946277</v>
      </c>
    </row>
    <row r="32" spans="2:11" ht="15.75" thickBot="1" x14ac:dyDescent="0.3">
      <c r="B32" s="179" t="s">
        <v>39</v>
      </c>
      <c r="C32" s="109">
        <v>684</v>
      </c>
      <c r="D32" s="111">
        <v>377</v>
      </c>
      <c r="E32" s="274">
        <f>D32*100/C32</f>
        <v>55.116959064327489</v>
      </c>
      <c r="F32" s="109">
        <v>607</v>
      </c>
      <c r="G32" s="111">
        <v>346</v>
      </c>
      <c r="H32" s="274">
        <f>G32*100/F32</f>
        <v>57.001647446457987</v>
      </c>
      <c r="I32" s="109">
        <v>537</v>
      </c>
      <c r="J32" s="111">
        <v>310</v>
      </c>
      <c r="K32" s="95">
        <f t="shared" si="2"/>
        <v>57.728119180633151</v>
      </c>
    </row>
    <row r="33" spans="2:13" x14ac:dyDescent="0.25">
      <c r="B33" s="305" t="s">
        <v>238</v>
      </c>
      <c r="C33" s="376"/>
      <c r="D33" s="376"/>
      <c r="E33" s="376"/>
      <c r="F33" s="11"/>
      <c r="G33" s="11"/>
      <c r="H33" s="11"/>
      <c r="I33" s="11"/>
      <c r="J33" s="11"/>
      <c r="K33" s="11"/>
      <c r="L33" s="11"/>
      <c r="M33" s="11"/>
    </row>
    <row r="34" spans="2:13" x14ac:dyDescent="0.25">
      <c r="B34" s="11" t="s">
        <v>240</v>
      </c>
      <c r="C34" s="11"/>
      <c r="D34" s="11"/>
      <c r="E34" s="11"/>
      <c r="F34" s="305"/>
      <c r="G34" s="305"/>
      <c r="H34" s="305"/>
      <c r="I34" s="239"/>
      <c r="J34" s="239"/>
      <c r="K34" s="239"/>
      <c r="L34" s="239"/>
      <c r="M34" s="239"/>
    </row>
    <row r="35" spans="2:13" x14ac:dyDescent="0.25">
      <c r="B35" s="11" t="s">
        <v>241</v>
      </c>
      <c r="C35" s="11"/>
      <c r="D35" s="11"/>
      <c r="E35" s="11"/>
      <c r="F35" s="11"/>
      <c r="G35" s="11"/>
      <c r="H35" s="11"/>
    </row>
    <row r="37" spans="2:13" x14ac:dyDescent="0.25">
      <c r="B37" s="11" t="s">
        <v>376</v>
      </c>
    </row>
    <row r="38" spans="2:13" ht="15.75" thickBot="1" x14ac:dyDescent="0.3">
      <c r="B38" s="11" t="s">
        <v>267</v>
      </c>
    </row>
    <row r="39" spans="2:13" x14ac:dyDescent="0.25">
      <c r="B39" s="931" t="s">
        <v>103</v>
      </c>
      <c r="C39" s="903" t="s">
        <v>570</v>
      </c>
      <c r="D39" s="950" t="s">
        <v>571</v>
      </c>
      <c r="E39" s="1006" t="s">
        <v>572</v>
      </c>
      <c r="F39" s="1009" t="s">
        <v>573</v>
      </c>
    </row>
    <row r="40" spans="2:13" x14ac:dyDescent="0.25">
      <c r="B40" s="989"/>
      <c r="C40" s="999"/>
      <c r="D40" s="1000"/>
      <c r="E40" s="1007"/>
      <c r="F40" s="1010"/>
    </row>
    <row r="41" spans="2:13" x14ac:dyDescent="0.25">
      <c r="B41" s="989"/>
      <c r="C41" s="999"/>
      <c r="D41" s="1000"/>
      <c r="E41" s="1007"/>
      <c r="F41" s="1010"/>
    </row>
    <row r="42" spans="2:13" ht="15.75" thickBot="1" x14ac:dyDescent="0.3">
      <c r="B42" s="944"/>
      <c r="C42" s="892"/>
      <c r="D42" s="917"/>
      <c r="E42" s="1008"/>
      <c r="F42" s="1011"/>
    </row>
    <row r="43" spans="2:13" ht="19.5" thickBot="1" x14ac:dyDescent="0.3">
      <c r="B43" s="268" t="s">
        <v>14</v>
      </c>
      <c r="C43" s="269">
        <f>I7-F7</f>
        <v>-2729</v>
      </c>
      <c r="D43" s="271">
        <f>C43*100/F7</f>
        <v>-6.8392561776352059</v>
      </c>
      <c r="E43" s="269">
        <f>I7-C7</f>
        <v>-4926</v>
      </c>
      <c r="F43" s="271">
        <f>E43*100/C7</f>
        <v>-11.700990522340199</v>
      </c>
    </row>
    <row r="44" spans="2:13" ht="15.75" thickTop="1" x14ac:dyDescent="0.25">
      <c r="B44" s="176" t="s">
        <v>15</v>
      </c>
      <c r="C44" s="180">
        <f t="shared" ref="C44:C68" si="3">I8-F8</f>
        <v>-62</v>
      </c>
      <c r="D44" s="55">
        <f t="shared" ref="D44:D68" si="4">C44*100/F8</f>
        <v>-9.3514328808446461</v>
      </c>
      <c r="E44" s="180">
        <f t="shared" ref="E44:E68" si="5">I8-C8</f>
        <v>-50</v>
      </c>
      <c r="F44" s="55">
        <f t="shared" ref="F44:F68" si="6">E44*100/C8</f>
        <v>-7.6804915514592933</v>
      </c>
    </row>
    <row r="45" spans="2:13" x14ac:dyDescent="0.25">
      <c r="B45" s="177" t="s">
        <v>16</v>
      </c>
      <c r="C45" s="51">
        <f t="shared" si="3"/>
        <v>-224</v>
      </c>
      <c r="D45" s="7">
        <f t="shared" si="4"/>
        <v>-8.6054552439492884</v>
      </c>
      <c r="E45" s="51">
        <f t="shared" si="5"/>
        <v>-238</v>
      </c>
      <c r="F45" s="7">
        <f t="shared" si="6"/>
        <v>-9.0943828811616356</v>
      </c>
    </row>
    <row r="46" spans="2:13" x14ac:dyDescent="0.25">
      <c r="B46" s="177" t="s">
        <v>17</v>
      </c>
      <c r="C46" s="51">
        <f t="shared" si="3"/>
        <v>-96</v>
      </c>
      <c r="D46" s="7">
        <f t="shared" si="4"/>
        <v>-8.9302325581395348</v>
      </c>
      <c r="E46" s="51">
        <f t="shared" si="5"/>
        <v>-225</v>
      </c>
      <c r="F46" s="7">
        <f t="shared" si="6"/>
        <v>-18.687707641196013</v>
      </c>
    </row>
    <row r="47" spans="2:13" x14ac:dyDescent="0.25">
      <c r="B47" s="177" t="s">
        <v>18</v>
      </c>
      <c r="C47" s="51">
        <f t="shared" si="3"/>
        <v>-296</v>
      </c>
      <c r="D47" s="7">
        <f t="shared" si="4"/>
        <v>-10.470463388751327</v>
      </c>
      <c r="E47" s="51">
        <f t="shared" si="5"/>
        <v>-406</v>
      </c>
      <c r="F47" s="7">
        <f t="shared" si="6"/>
        <v>-13.823629553966633</v>
      </c>
    </row>
    <row r="48" spans="2:13" x14ac:dyDescent="0.25">
      <c r="B48" s="177" t="s">
        <v>19</v>
      </c>
      <c r="C48" s="51">
        <f t="shared" si="3"/>
        <v>-141</v>
      </c>
      <c r="D48" s="7">
        <f t="shared" si="4"/>
        <v>-4.6275024614374791</v>
      </c>
      <c r="E48" s="51">
        <f t="shared" si="5"/>
        <v>-273</v>
      </c>
      <c r="F48" s="7">
        <f t="shared" si="6"/>
        <v>-8.5876061654608371</v>
      </c>
    </row>
    <row r="49" spans="2:6" x14ac:dyDescent="0.25">
      <c r="B49" s="177" t="s">
        <v>20</v>
      </c>
      <c r="C49" s="51">
        <f t="shared" si="3"/>
        <v>-55</v>
      </c>
      <c r="D49" s="7">
        <f t="shared" si="4"/>
        <v>-6.7484662576687118</v>
      </c>
      <c r="E49" s="51">
        <f t="shared" si="5"/>
        <v>-91</v>
      </c>
      <c r="F49" s="7">
        <f t="shared" si="6"/>
        <v>-10.693301997649824</v>
      </c>
    </row>
    <row r="50" spans="2:6" x14ac:dyDescent="0.25">
      <c r="B50" s="177" t="s">
        <v>21</v>
      </c>
      <c r="C50" s="51">
        <f t="shared" si="3"/>
        <v>-24</v>
      </c>
      <c r="D50" s="7">
        <f t="shared" si="4"/>
        <v>-2.502606882168926</v>
      </c>
      <c r="E50" s="51">
        <f t="shared" si="5"/>
        <v>-19</v>
      </c>
      <c r="F50" s="7">
        <f t="shared" si="6"/>
        <v>-1.9916142557651992</v>
      </c>
    </row>
    <row r="51" spans="2:6" x14ac:dyDescent="0.25">
      <c r="B51" s="177" t="s">
        <v>22</v>
      </c>
      <c r="C51" s="51">
        <f t="shared" si="3"/>
        <v>-17</v>
      </c>
      <c r="D51" s="7">
        <f t="shared" si="4"/>
        <v>-1.596244131455399</v>
      </c>
      <c r="E51" s="51">
        <f t="shared" si="5"/>
        <v>26</v>
      </c>
      <c r="F51" s="7">
        <f t="shared" si="6"/>
        <v>2.5440313111545989</v>
      </c>
    </row>
    <row r="52" spans="2:6" x14ac:dyDescent="0.25">
      <c r="B52" s="177" t="s">
        <v>23</v>
      </c>
      <c r="C52" s="51">
        <f t="shared" si="3"/>
        <v>-184</v>
      </c>
      <c r="D52" s="7">
        <f t="shared" si="4"/>
        <v>-9.4504365690806367</v>
      </c>
      <c r="E52" s="51">
        <f t="shared" si="5"/>
        <v>-314</v>
      </c>
      <c r="F52" s="7">
        <f t="shared" si="6"/>
        <v>-15.117958594126144</v>
      </c>
    </row>
    <row r="53" spans="2:6" x14ac:dyDescent="0.25">
      <c r="B53" s="177" t="s">
        <v>24</v>
      </c>
      <c r="C53" s="51">
        <f t="shared" si="3"/>
        <v>-127</v>
      </c>
      <c r="D53" s="7">
        <f t="shared" si="4"/>
        <v>-12.789526686807653</v>
      </c>
      <c r="E53" s="51">
        <f t="shared" si="5"/>
        <v>-116</v>
      </c>
      <c r="F53" s="7">
        <f t="shared" si="6"/>
        <v>-11.812627291242363</v>
      </c>
    </row>
    <row r="54" spans="2:6" x14ac:dyDescent="0.25">
      <c r="B54" s="177" t="s">
        <v>25</v>
      </c>
      <c r="C54" s="51">
        <f t="shared" si="3"/>
        <v>-106</v>
      </c>
      <c r="D54" s="7">
        <f t="shared" si="4"/>
        <v>-7.5337597725657428</v>
      </c>
      <c r="E54" s="51">
        <f t="shared" si="5"/>
        <v>-300</v>
      </c>
      <c r="F54" s="7">
        <f t="shared" si="6"/>
        <v>-18.738288569643974</v>
      </c>
    </row>
    <row r="55" spans="2:6" x14ac:dyDescent="0.25">
      <c r="B55" s="177" t="s">
        <v>26</v>
      </c>
      <c r="C55" s="51">
        <f t="shared" si="3"/>
        <v>23</v>
      </c>
      <c r="D55" s="7">
        <f t="shared" si="4"/>
        <v>1.8930041152263375</v>
      </c>
      <c r="E55" s="51">
        <f t="shared" si="5"/>
        <v>-49</v>
      </c>
      <c r="F55" s="7">
        <f t="shared" si="6"/>
        <v>-3.8073038073038075</v>
      </c>
    </row>
    <row r="56" spans="2:6" x14ac:dyDescent="0.25">
      <c r="B56" s="177" t="s">
        <v>27</v>
      </c>
      <c r="C56" s="51">
        <f t="shared" si="3"/>
        <v>-15</v>
      </c>
      <c r="D56" s="7">
        <f t="shared" si="4"/>
        <v>-0.8537279453614115</v>
      </c>
      <c r="E56" s="51">
        <f t="shared" si="5"/>
        <v>-164</v>
      </c>
      <c r="F56" s="7">
        <f t="shared" si="6"/>
        <v>-8.6044071353620151</v>
      </c>
    </row>
    <row r="57" spans="2:6" x14ac:dyDescent="0.25">
      <c r="B57" s="178" t="s">
        <v>28</v>
      </c>
      <c r="C57" s="51">
        <f t="shared" si="3"/>
        <v>-134</v>
      </c>
      <c r="D57" s="7">
        <f t="shared" si="4"/>
        <v>-7.0937003705664372</v>
      </c>
      <c r="E57" s="51">
        <f t="shared" si="5"/>
        <v>-207</v>
      </c>
      <c r="F57" s="7">
        <f t="shared" si="6"/>
        <v>-10.55045871559633</v>
      </c>
    </row>
    <row r="58" spans="2:6" x14ac:dyDescent="0.25">
      <c r="B58" s="178" t="s">
        <v>29</v>
      </c>
      <c r="C58" s="51">
        <f t="shared" si="3"/>
        <v>-275</v>
      </c>
      <c r="D58" s="7">
        <f t="shared" si="4"/>
        <v>-12.309758281110117</v>
      </c>
      <c r="E58" s="51">
        <f t="shared" si="5"/>
        <v>-268</v>
      </c>
      <c r="F58" s="7">
        <f t="shared" si="6"/>
        <v>-12.034126627750338</v>
      </c>
    </row>
    <row r="59" spans="2:6" x14ac:dyDescent="0.25">
      <c r="B59" s="178" t="s">
        <v>30</v>
      </c>
      <c r="C59" s="51">
        <f t="shared" si="3"/>
        <v>-179</v>
      </c>
      <c r="D59" s="7">
        <f t="shared" si="4"/>
        <v>-11.30050505050505</v>
      </c>
      <c r="E59" s="51">
        <f t="shared" si="5"/>
        <v>-387</v>
      </c>
      <c r="F59" s="7">
        <f t="shared" si="6"/>
        <v>-21.595982142857142</v>
      </c>
    </row>
    <row r="60" spans="2:6" x14ac:dyDescent="0.25">
      <c r="B60" s="178" t="s">
        <v>31</v>
      </c>
      <c r="C60" s="51">
        <f t="shared" si="3"/>
        <v>-307</v>
      </c>
      <c r="D60" s="7">
        <f t="shared" si="4"/>
        <v>-10.135358204027732</v>
      </c>
      <c r="E60" s="51">
        <f t="shared" si="5"/>
        <v>-448</v>
      </c>
      <c r="F60" s="7">
        <f t="shared" si="6"/>
        <v>-14.132492113564668</v>
      </c>
    </row>
    <row r="61" spans="2:6" x14ac:dyDescent="0.25">
      <c r="B61" s="178" t="s">
        <v>32</v>
      </c>
      <c r="C61" s="51">
        <f t="shared" si="3"/>
        <v>-1</v>
      </c>
      <c r="D61" s="7">
        <f t="shared" si="4"/>
        <v>-7.5585789871504161E-2</v>
      </c>
      <c r="E61" s="51">
        <f t="shared" si="5"/>
        <v>53</v>
      </c>
      <c r="F61" s="7">
        <f t="shared" si="6"/>
        <v>4.1765169424743895</v>
      </c>
    </row>
    <row r="62" spans="2:6" x14ac:dyDescent="0.25">
      <c r="B62" s="178" t="s">
        <v>33</v>
      </c>
      <c r="C62" s="51">
        <f t="shared" si="3"/>
        <v>-13</v>
      </c>
      <c r="D62" s="7">
        <f t="shared" si="4"/>
        <v>-1.673101673101673</v>
      </c>
      <c r="E62" s="51">
        <f t="shared" si="5"/>
        <v>-134</v>
      </c>
      <c r="F62" s="7">
        <f t="shared" si="6"/>
        <v>-14.922048997772828</v>
      </c>
    </row>
    <row r="63" spans="2:6" x14ac:dyDescent="0.25">
      <c r="B63" s="178" t="s">
        <v>34</v>
      </c>
      <c r="C63" s="51">
        <f t="shared" si="3"/>
        <v>-155</v>
      </c>
      <c r="D63" s="7">
        <f t="shared" si="4"/>
        <v>-7.4770863482875063</v>
      </c>
      <c r="E63" s="51">
        <f t="shared" si="5"/>
        <v>-270</v>
      </c>
      <c r="F63" s="7">
        <f t="shared" si="6"/>
        <v>-12.340036563071298</v>
      </c>
    </row>
    <row r="64" spans="2:6" x14ac:dyDescent="0.25">
      <c r="B64" s="178" t="s">
        <v>35</v>
      </c>
      <c r="C64" s="51">
        <f t="shared" si="3"/>
        <v>-56</v>
      </c>
      <c r="D64" s="7">
        <f t="shared" si="4"/>
        <v>-8</v>
      </c>
      <c r="E64" s="51">
        <f t="shared" si="5"/>
        <v>-136</v>
      </c>
      <c r="F64" s="7">
        <f t="shared" si="6"/>
        <v>-17.435897435897434</v>
      </c>
    </row>
    <row r="65" spans="2:6" x14ac:dyDescent="0.25">
      <c r="B65" s="178" t="s">
        <v>36</v>
      </c>
      <c r="C65" s="51">
        <f t="shared" si="3"/>
        <v>-15</v>
      </c>
      <c r="D65" s="7">
        <f t="shared" si="4"/>
        <v>-4.7318611987381702</v>
      </c>
      <c r="E65" s="51">
        <f t="shared" si="5"/>
        <v>-46</v>
      </c>
      <c r="F65" s="7">
        <f t="shared" si="6"/>
        <v>-13.218390804597702</v>
      </c>
    </row>
    <row r="66" spans="2:6" x14ac:dyDescent="0.25">
      <c r="B66" s="178" t="s">
        <v>37</v>
      </c>
      <c r="C66" s="51">
        <f t="shared" si="3"/>
        <v>-41</v>
      </c>
      <c r="D66" s="7">
        <f t="shared" si="4"/>
        <v>-2.5657071339173969</v>
      </c>
      <c r="E66" s="51">
        <f t="shared" si="5"/>
        <v>-176</v>
      </c>
      <c r="F66" s="7">
        <f t="shared" si="6"/>
        <v>-10.155799192152337</v>
      </c>
    </row>
    <row r="67" spans="2:6" x14ac:dyDescent="0.25">
      <c r="B67" s="178" t="s">
        <v>38</v>
      </c>
      <c r="C67" s="51">
        <f t="shared" si="3"/>
        <v>-159</v>
      </c>
      <c r="D67" s="7">
        <f t="shared" si="4"/>
        <v>-4.6792230723955264</v>
      </c>
      <c r="E67" s="51">
        <f t="shared" si="5"/>
        <v>-541</v>
      </c>
      <c r="F67" s="7">
        <f t="shared" si="6"/>
        <v>-14.312169312169312</v>
      </c>
    </row>
    <row r="68" spans="2:6" ht="15.75" thickBot="1" x14ac:dyDescent="0.3">
      <c r="B68" s="179" t="s">
        <v>39</v>
      </c>
      <c r="C68" s="3">
        <f t="shared" si="3"/>
        <v>-70</v>
      </c>
      <c r="D68" s="8">
        <f t="shared" si="4"/>
        <v>-11.532125205930807</v>
      </c>
      <c r="E68" s="3">
        <f t="shared" si="5"/>
        <v>-147</v>
      </c>
      <c r="F68" s="8">
        <f t="shared" si="6"/>
        <v>-21.491228070175438</v>
      </c>
    </row>
  </sheetData>
  <mergeCells count="18">
    <mergeCell ref="B39:B42"/>
    <mergeCell ref="E39:E42"/>
    <mergeCell ref="F39:F42"/>
    <mergeCell ref="B3:B6"/>
    <mergeCell ref="I3:K3"/>
    <mergeCell ref="F3:H3"/>
    <mergeCell ref="C39:C42"/>
    <mergeCell ref="D39:D42"/>
    <mergeCell ref="I4:K4"/>
    <mergeCell ref="F4:H4"/>
    <mergeCell ref="I5:I6"/>
    <mergeCell ref="J5:K5"/>
    <mergeCell ref="F5:F6"/>
    <mergeCell ref="G5:H5"/>
    <mergeCell ref="C3:E3"/>
    <mergeCell ref="C4:E4"/>
    <mergeCell ref="C5:C6"/>
    <mergeCell ref="D5:E5"/>
  </mergeCells>
  <printOptions horizontalCentered="1" verticalCentered="1"/>
  <pageMargins left="0.31496062992125984" right="0.31496062992125984" top="0" bottom="0" header="0" footer="0"/>
  <pageSetup paperSize="9" scale="9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</sheetPr>
  <dimension ref="B1:K44"/>
  <sheetViews>
    <sheetView zoomScale="80" zoomScaleNormal="80" workbookViewId="0">
      <selection activeCell="B1" sqref="B1"/>
    </sheetView>
  </sheetViews>
  <sheetFormatPr defaultColWidth="9.140625" defaultRowHeight="15" x14ac:dyDescent="0.25"/>
  <cols>
    <col min="1" max="1" width="1.85546875" style="11" customWidth="1"/>
    <col min="2" max="2" width="7.28515625" style="11" customWidth="1"/>
    <col min="3" max="3" width="74.7109375" style="11" customWidth="1"/>
    <col min="4" max="4" width="12.5703125" style="11" customWidth="1"/>
    <col min="5" max="5" width="12.42578125" style="11" customWidth="1"/>
    <col min="6" max="6" width="14.140625" style="11" customWidth="1"/>
    <col min="7" max="7" width="8.42578125" style="11" customWidth="1"/>
    <col min="8" max="8" width="6.7109375" style="11" customWidth="1"/>
    <col min="9" max="9" width="5.42578125" style="11" customWidth="1"/>
    <col min="10" max="10" width="84.85546875" style="11" customWidth="1"/>
    <col min="11" max="11" width="10.28515625" style="11" customWidth="1"/>
    <col min="12" max="13" width="9.140625" style="11"/>
    <col min="14" max="14" width="33.42578125" style="11" customWidth="1"/>
    <col min="15" max="16384" width="9.140625" style="11"/>
  </cols>
  <sheetData>
    <row r="1" spans="2:11" ht="12" customHeight="1" x14ac:dyDescent="0.25"/>
    <row r="2" spans="2:11" ht="16.5" customHeight="1" x14ac:dyDescent="0.25">
      <c r="C2" s="1015" t="s">
        <v>387</v>
      </c>
      <c r="D2" s="1015"/>
      <c r="E2" s="1015"/>
    </row>
    <row r="3" spans="2:11" ht="16.5" customHeight="1" x14ac:dyDescent="0.25">
      <c r="C3" s="1013" t="s">
        <v>386</v>
      </c>
      <c r="D3" s="1013"/>
      <c r="E3" s="1013"/>
    </row>
    <row r="4" spans="2:11" ht="14.25" customHeight="1" x14ac:dyDescent="0.25">
      <c r="C4" s="1014" t="s">
        <v>411</v>
      </c>
      <c r="D4" s="1014"/>
      <c r="E4" s="1014"/>
    </row>
    <row r="5" spans="2:11" ht="12" customHeight="1" thickBot="1" x14ac:dyDescent="0.3"/>
    <row r="6" spans="2:11" ht="45" customHeight="1" x14ac:dyDescent="0.25">
      <c r="B6" s="749"/>
      <c r="C6" s="750" t="s">
        <v>103</v>
      </c>
      <c r="D6" s="808" t="s">
        <v>388</v>
      </c>
      <c r="E6" s="815" t="s">
        <v>388</v>
      </c>
      <c r="F6" s="1016" t="s">
        <v>551</v>
      </c>
      <c r="I6" s="1012"/>
      <c r="J6" s="1012"/>
      <c r="K6" s="1012"/>
    </row>
    <row r="7" spans="2:11" ht="30" customHeight="1" thickBot="1" x14ac:dyDescent="0.3">
      <c r="B7" s="751" t="s">
        <v>390</v>
      </c>
      <c r="C7" s="752"/>
      <c r="D7" s="809" t="s">
        <v>550</v>
      </c>
      <c r="E7" s="787" t="s">
        <v>549</v>
      </c>
      <c r="F7" s="1017"/>
      <c r="I7" s="1012"/>
      <c r="J7" s="1012"/>
      <c r="K7" s="1012"/>
    </row>
    <row r="8" spans="2:11" ht="30" customHeight="1" thickBot="1" x14ac:dyDescent="0.3">
      <c r="B8" s="525" t="s">
        <v>93</v>
      </c>
      <c r="C8" s="527" t="s">
        <v>50</v>
      </c>
      <c r="D8" s="810">
        <f>SUM(D10,D11,D12,D13,D14,D15,D16,D17,D18,D19,D20,D21,D22,D23,D24,D25,D26,D27,D28,D29,D30)</f>
        <v>27965</v>
      </c>
      <c r="E8" s="816">
        <f>SUM(E10,E11,E12,E13,E14,E15,E16,E17,E18,E19,E20,E21,E22,E23,E24,E25,E26,E27,E28,E29,E30)</f>
        <v>24009</v>
      </c>
      <c r="F8" s="820">
        <f>SUM(F10,F11,F12,F13,F14,F15,F16,F17,F18,F19,F20,F21,F22,F23,F24,F25,F26,F27,F28,F29,F30)</f>
        <v>100</v>
      </c>
      <c r="I8" s="444"/>
      <c r="J8" s="444"/>
      <c r="K8" s="444"/>
    </row>
    <row r="9" spans="2:11" ht="18" customHeight="1" thickBot="1" x14ac:dyDescent="0.3">
      <c r="B9" s="858" t="s">
        <v>356</v>
      </c>
      <c r="C9" s="857" t="s">
        <v>296</v>
      </c>
      <c r="D9" s="856"/>
      <c r="E9" s="855"/>
      <c r="F9" s="854"/>
      <c r="I9" s="445"/>
      <c r="J9" s="445"/>
      <c r="K9" s="445"/>
    </row>
    <row r="10" spans="2:11" ht="18" customHeight="1" x14ac:dyDescent="0.25">
      <c r="B10" s="807" t="s">
        <v>161</v>
      </c>
      <c r="C10" s="814" t="s">
        <v>275</v>
      </c>
      <c r="D10" s="811">
        <v>466</v>
      </c>
      <c r="E10" s="817">
        <v>266</v>
      </c>
      <c r="F10" s="821">
        <f>SUM(E10/E31)*100</f>
        <v>1.1079178641342831</v>
      </c>
      <c r="H10" s="137">
        <v>1</v>
      </c>
      <c r="I10" s="437">
        <f>RANK(E10,$E$10:$E$30,1)+COUNTIF($E$10:E10,E10)-1</f>
        <v>8</v>
      </c>
      <c r="J10" s="753" t="str">
        <f>INDEX(C10:F30,MATCH(21,I10:I30,0),1)</f>
        <v>Przetwórstwo przemysłowe</v>
      </c>
      <c r="K10" s="754">
        <f>INDEX(C10:F30,MATCH(21,I10:I30,0),4)</f>
        <v>18.680494814444586</v>
      </c>
    </row>
    <row r="11" spans="2:11" ht="16.5" customHeight="1" x14ac:dyDescent="0.25">
      <c r="B11" s="526" t="s">
        <v>162</v>
      </c>
      <c r="C11" s="528" t="s">
        <v>276</v>
      </c>
      <c r="D11" s="812">
        <v>32</v>
      </c>
      <c r="E11" s="818">
        <v>47</v>
      </c>
      <c r="F11" s="822">
        <f>SUM(E11/E31)*100</f>
        <v>0.19575992336207257</v>
      </c>
      <c r="H11" s="137">
        <v>2</v>
      </c>
      <c r="I11" s="438">
        <f>RANK(E11,$E$10:$E$30,1)+COUNTIF($E$10:E11,E11)-1</f>
        <v>4</v>
      </c>
      <c r="J11" s="755" t="str">
        <f>INDEX(C10:F30,MATCH(20,I10:I30,0),1)</f>
        <v>Handel hurtowy i detaliczny; naprawa pojazdów samochodowych, włączając motocykle</v>
      </c>
      <c r="K11" s="756">
        <f>INDEX(C10:F30,MATCH(20,I10:I30,0),4)</f>
        <v>14.06555874880253</v>
      </c>
    </row>
    <row r="12" spans="2:11" ht="17.25" customHeight="1" x14ac:dyDescent="0.25">
      <c r="B12" s="526" t="s">
        <v>391</v>
      </c>
      <c r="C12" s="528" t="s">
        <v>277</v>
      </c>
      <c r="D12" s="812">
        <v>6014</v>
      </c>
      <c r="E12" s="818">
        <v>4485</v>
      </c>
      <c r="F12" s="822">
        <f>SUM(E12/E31)*100</f>
        <v>18.680494814444586</v>
      </c>
      <c r="H12" s="137">
        <v>3</v>
      </c>
      <c r="I12" s="438">
        <f>RANK(E12,$E$10:$E$30,1)+COUNTIF($E$10:E12,E12)-1</f>
        <v>21</v>
      </c>
      <c r="J12" s="755" t="str">
        <f>INDEX(C10:F30,MATCH(19,I10:I30,0),1)</f>
        <v>Budownictwo</v>
      </c>
      <c r="K12" s="756">
        <f>INDEX(C10:F30,MATCH(19,I10:I30,0),4)</f>
        <v>12.836852846849098</v>
      </c>
    </row>
    <row r="13" spans="2:11" ht="26.25" customHeight="1" x14ac:dyDescent="0.25">
      <c r="B13" s="529" t="s">
        <v>392</v>
      </c>
      <c r="C13" s="530" t="s">
        <v>278</v>
      </c>
      <c r="D13" s="812">
        <v>30</v>
      </c>
      <c r="E13" s="818">
        <v>36</v>
      </c>
      <c r="F13" s="822">
        <f>SUM(E13/E31)*100</f>
        <v>0.14994377108584281</v>
      </c>
      <c r="H13" s="137">
        <v>4</v>
      </c>
      <c r="I13" s="438">
        <f>RANK(E13,$E$10:$E$30,1)+COUNTIF($E$10:E13,E13)-1</f>
        <v>3</v>
      </c>
      <c r="J13" s="755" t="str">
        <f>INDEX(C10:F30,MATCH(18,I10:I30,0),1)</f>
        <v>Działalność w zakresie usług administrowania i działalność wspierająca</v>
      </c>
      <c r="K13" s="756">
        <f>INDEX(C10:F30,MATCH(18,I10:I30,0),4)</f>
        <v>10.870923403723603</v>
      </c>
    </row>
    <row r="14" spans="2:11" ht="18" customHeight="1" x14ac:dyDescent="0.25">
      <c r="B14" s="529" t="s">
        <v>393</v>
      </c>
      <c r="C14" s="530" t="s">
        <v>279</v>
      </c>
      <c r="D14" s="812">
        <v>247</v>
      </c>
      <c r="E14" s="818">
        <v>331</v>
      </c>
      <c r="F14" s="822">
        <f>SUM(E14/E31)*100</f>
        <v>1.378649673039277</v>
      </c>
      <c r="H14" s="137">
        <v>5</v>
      </c>
      <c r="I14" s="438">
        <f>RANK(E14,$E$10:$E$30,1)+COUNTIF($E$10:E14,E14)-1</f>
        <v>9</v>
      </c>
      <c r="J14" s="755" t="str">
        <f>INDEX(C10:F30,MATCH(17,I10:I30,0),1)</f>
        <v>Administracja publiczna i obrona narodowa; obowiązkowe zabezpieczenia społeczne</v>
      </c>
      <c r="K14" s="756">
        <f>INDEX(C10:F30,MATCH(17,I10:I30,0),4)</f>
        <v>9.0091215794077222</v>
      </c>
    </row>
    <row r="15" spans="2:11" ht="17.25" customHeight="1" x14ac:dyDescent="0.25">
      <c r="B15" s="526" t="s">
        <v>394</v>
      </c>
      <c r="C15" s="528" t="s">
        <v>280</v>
      </c>
      <c r="D15" s="812">
        <v>3726</v>
      </c>
      <c r="E15" s="818">
        <v>3082</v>
      </c>
      <c r="F15" s="822">
        <f>SUM(E15/E31)*100</f>
        <v>12.836852846849098</v>
      </c>
      <c r="H15" s="137">
        <v>6</v>
      </c>
      <c r="I15" s="441">
        <f>RANK(E15,$E$10:$E$30,1)+COUNTIF($E$10:E15,E15)-1</f>
        <v>19</v>
      </c>
      <c r="J15" s="757" t="str">
        <f>INDEX(C10:F30,MATCH(16,I10:I30,0),1)</f>
        <v>Opieka zdrowotna i pomoc społeczna</v>
      </c>
      <c r="K15" s="758">
        <f>INDEX(C10:F30,MATCH(16,I10:I30,0),4)</f>
        <v>6.2434920238243992</v>
      </c>
    </row>
    <row r="16" spans="2:11" ht="21" customHeight="1" x14ac:dyDescent="0.25">
      <c r="B16" s="526" t="s">
        <v>395</v>
      </c>
      <c r="C16" s="528" t="s">
        <v>281</v>
      </c>
      <c r="D16" s="812">
        <v>4166</v>
      </c>
      <c r="E16" s="818">
        <v>3377</v>
      </c>
      <c r="F16" s="822">
        <f>SUM(E16/E31)*100</f>
        <v>14.06555874880253</v>
      </c>
      <c r="H16" s="137">
        <v>7</v>
      </c>
      <c r="I16" s="441">
        <f>RANK(E16,$E$10:$E$30,1)+COUNTIF($E$10:E16,E16)-1</f>
        <v>20</v>
      </c>
      <c r="J16" s="757" t="str">
        <f>INDEX(C10:F30,MATCH(15,I10:I30,0),1)</f>
        <v>Działalność związana z zakwaterowaniem i usługami gastronomicznymi</v>
      </c>
      <c r="K16" s="758">
        <f>INDEX(C10:F30,MATCH(15,I10:I30,0),4)</f>
        <v>5.1314090549377314</v>
      </c>
    </row>
    <row r="17" spans="2:11" ht="17.25" customHeight="1" x14ac:dyDescent="0.25">
      <c r="B17" s="526" t="s">
        <v>397</v>
      </c>
      <c r="C17" s="528" t="s">
        <v>282</v>
      </c>
      <c r="D17" s="812">
        <v>1414</v>
      </c>
      <c r="E17" s="818">
        <v>1232</v>
      </c>
      <c r="F17" s="822">
        <f>SUM(E17/E31)*100</f>
        <v>5.1314090549377314</v>
      </c>
      <c r="H17" s="137">
        <v>8</v>
      </c>
      <c r="I17" s="439">
        <f>RANK(E17,$E$10:$E$30,1)+COUNTIF($E$10:E17,E17)-1</f>
        <v>15</v>
      </c>
      <c r="J17" s="759" t="str">
        <f>INDEX(C10:F30,MATCH(14,I10:I30,0),1)</f>
        <v>Edukacja</v>
      </c>
      <c r="K17" s="760">
        <f>INDEX(C10:F30,MATCH(14,I10:I30,0),4)</f>
        <v>4.7440543129659707</v>
      </c>
    </row>
    <row r="18" spans="2:11" ht="18" customHeight="1" x14ac:dyDescent="0.25">
      <c r="B18" s="526" t="s">
        <v>396</v>
      </c>
      <c r="C18" s="528" t="s">
        <v>283</v>
      </c>
      <c r="D18" s="812">
        <v>958</v>
      </c>
      <c r="E18" s="818">
        <v>1025</v>
      </c>
      <c r="F18" s="822">
        <f>SUM(E18/E31)*100</f>
        <v>4.2692323711941356</v>
      </c>
      <c r="H18" s="137">
        <v>9</v>
      </c>
      <c r="I18" s="440">
        <f>RANK(E18,$E$10:$E$30,1)+COUNTIF($E$10:E18,E18)-1</f>
        <v>13</v>
      </c>
      <c r="J18" s="761" t="str">
        <f>INDEX(C10:F30,MATCH(13,I10:I30,0),1)</f>
        <v>Transport i gospodarka magazynowa</v>
      </c>
      <c r="K18" s="762">
        <f>INDEX(C10:F30,MATCH(13,I10:I30,0),4)</f>
        <v>4.2692323711941356</v>
      </c>
    </row>
    <row r="19" spans="2:11" ht="15.75" customHeight="1" x14ac:dyDescent="0.25">
      <c r="B19" s="531" t="s">
        <v>398</v>
      </c>
      <c r="C19" s="532" t="s">
        <v>284</v>
      </c>
      <c r="D19" s="812">
        <v>197</v>
      </c>
      <c r="E19" s="818">
        <v>261</v>
      </c>
      <c r="F19" s="822">
        <f>SUM(E19/E31)*100</f>
        <v>1.0870923403723605</v>
      </c>
      <c r="H19" s="137">
        <v>10</v>
      </c>
      <c r="I19" s="440">
        <f>RANK(E19,$E$10:$E$30,1)+COUNTIF($E$10:E19,E19)-1</f>
        <v>7</v>
      </c>
      <c r="J19" s="442" t="str">
        <f>INDEX(C10:F30,MATCH(12,I10:I30,0),1)</f>
        <v>Pozostała działalność usługowa</v>
      </c>
      <c r="K19" s="446">
        <f>INDEX(C10:F30,MATCH(12,I10:I30,0),4)</f>
        <v>3.5653296680411515</v>
      </c>
    </row>
    <row r="20" spans="2:11" ht="17.25" customHeight="1" x14ac:dyDescent="0.25">
      <c r="B20" s="531" t="s">
        <v>399</v>
      </c>
      <c r="C20" s="532" t="s">
        <v>297</v>
      </c>
      <c r="D20" s="812">
        <v>174</v>
      </c>
      <c r="E20" s="818">
        <v>168</v>
      </c>
      <c r="F20" s="822">
        <f>SUM(E20/E31)*100</f>
        <v>0.69973759840059979</v>
      </c>
      <c r="H20" s="137">
        <v>11</v>
      </c>
      <c r="I20" s="440">
        <f>RANK(E20,$E$10:$E$30,1)+COUNTIF($E$10:E20,E20)-1</f>
        <v>6</v>
      </c>
      <c r="J20" s="442" t="str">
        <f>INDEX(C10:F30,MATCH(11,I10:I30,0),1)</f>
        <v>Działalność profesjonalna, naukowa i techniczna</v>
      </c>
      <c r="K20" s="446">
        <f>INDEX(C10:F30,MATCH(11,I10:I30,0),4)</f>
        <v>3.561164563288767</v>
      </c>
    </row>
    <row r="21" spans="2:11" ht="16.5" customHeight="1" x14ac:dyDescent="0.25">
      <c r="B21" s="533" t="s">
        <v>400</v>
      </c>
      <c r="C21" s="534" t="s">
        <v>285</v>
      </c>
      <c r="D21" s="812">
        <v>149</v>
      </c>
      <c r="E21" s="818">
        <v>151</v>
      </c>
      <c r="F21" s="822">
        <f>SUM(E21/E31)*100</f>
        <v>0.62893081761006298</v>
      </c>
      <c r="H21" s="137">
        <v>12</v>
      </c>
      <c r="I21" s="441">
        <f>RANK(E21,$E$10:$E$30,1)+COUNTIF($E$10:E21,E21)-1</f>
        <v>5</v>
      </c>
      <c r="J21" s="443" t="str">
        <f>INDEX(C10:F30,MATCH(10,I10:I30,0),1)</f>
        <v>Działalność związana z kulturą, rozrywką i rekreacją</v>
      </c>
      <c r="K21" s="295">
        <f>INDEX(C10:F30,MATCH(10,I10:I30,0),4)</f>
        <v>1.7743346245158065</v>
      </c>
    </row>
    <row r="22" spans="2:11" x14ac:dyDescent="0.25">
      <c r="B22" s="526" t="s">
        <v>401</v>
      </c>
      <c r="C22" s="528" t="s">
        <v>286</v>
      </c>
      <c r="D22" s="812">
        <v>1045</v>
      </c>
      <c r="E22" s="818">
        <v>855</v>
      </c>
      <c r="F22" s="822">
        <f>SUM(E22/E31)*100</f>
        <v>3.561164563288767</v>
      </c>
      <c r="H22" s="137">
        <v>13</v>
      </c>
      <c r="I22" s="440">
        <f>RANK(E22,$E$10:$E$30,1)+COUNTIF($E$10:E22,E22)-1</f>
        <v>11</v>
      </c>
      <c r="J22" s="442" t="str">
        <f>INDEX(C10:F30,MATCH(9,I10:I30,0),1)</f>
        <v>Dostawa wody, gospodarowanie ściekami i odpadami oraz działalność związana z rekultywacją</v>
      </c>
      <c r="K22" s="446">
        <f>INDEX(C10:F30,MATCH(9,I10:I30,0),4)</f>
        <v>1.378649673039277</v>
      </c>
    </row>
    <row r="23" spans="2:11" ht="18" customHeight="1" x14ac:dyDescent="0.25">
      <c r="B23" s="526" t="s">
        <v>402</v>
      </c>
      <c r="C23" s="528" t="s">
        <v>287</v>
      </c>
      <c r="D23" s="812">
        <v>3452</v>
      </c>
      <c r="E23" s="818">
        <v>2610</v>
      </c>
      <c r="F23" s="822">
        <f>SUM(E23/E31)*100</f>
        <v>10.870923403723603</v>
      </c>
      <c r="H23" s="137">
        <v>14</v>
      </c>
      <c r="I23" s="440">
        <f>RANK(E23,$E$10:$E$30,1)+COUNTIF($E$10:E23,E23)-1</f>
        <v>18</v>
      </c>
      <c r="J23" s="442" t="str">
        <f>INDEX(C10:F30,MATCH(8,I10:I30,0),1)</f>
        <v>Rolnictwo, leśnictwo, łowiectwo i rybactwo</v>
      </c>
      <c r="K23" s="446">
        <f>INDEX(C10:F30,MATCH(8,I10:I30,0),4)</f>
        <v>1.1079178641342831</v>
      </c>
    </row>
    <row r="24" spans="2:11" ht="17.25" customHeight="1" x14ac:dyDescent="0.25">
      <c r="B24" s="526" t="s">
        <v>295</v>
      </c>
      <c r="C24" s="528" t="s">
        <v>288</v>
      </c>
      <c r="D24" s="812">
        <v>2040</v>
      </c>
      <c r="E24" s="818">
        <v>2163</v>
      </c>
      <c r="F24" s="822">
        <f>SUM(E24/E31)*100</f>
        <v>9.0091215794077222</v>
      </c>
      <c r="H24" s="137">
        <v>15</v>
      </c>
      <c r="I24" s="440">
        <f>RANK(E24,$E$10:$E$30,1)+COUNTIF($E$10:E24,E24)-1</f>
        <v>17</v>
      </c>
      <c r="J24" s="442" t="str">
        <f>INDEX(C10:F30,MATCH(7,I10:I30,0),1)</f>
        <v>Informacja i komunikacja</v>
      </c>
      <c r="K24" s="446">
        <f>INDEX(C10:F30,MATCH(7,I10:I30,0),4)</f>
        <v>1.0870923403723605</v>
      </c>
    </row>
    <row r="25" spans="2:11" ht="19.5" customHeight="1" x14ac:dyDescent="0.25">
      <c r="B25" s="526" t="s">
        <v>403</v>
      </c>
      <c r="C25" s="528" t="s">
        <v>289</v>
      </c>
      <c r="D25" s="812">
        <v>990</v>
      </c>
      <c r="E25" s="818">
        <v>1139</v>
      </c>
      <c r="F25" s="822">
        <f>SUM(E25/E31)*100</f>
        <v>4.7440543129659707</v>
      </c>
      <c r="H25" s="137">
        <v>16</v>
      </c>
      <c r="I25" s="440">
        <f>RANK(E25,$E$10:$E$30,1)+COUNTIF($E$10:E25,E25)-1</f>
        <v>14</v>
      </c>
      <c r="J25" s="442" t="str">
        <f>INDEX(C10:F30,MATCH(6,I10:I30,0),1)</f>
        <v>Działalność finansowa i ubezpieczeniowa</v>
      </c>
      <c r="K25" s="446">
        <f>INDEX(C10:F30,MATCH(6,I10:I30,0),4)</f>
        <v>0.69973759840059979</v>
      </c>
    </row>
    <row r="26" spans="2:11" ht="17.25" customHeight="1" x14ac:dyDescent="0.25">
      <c r="B26" s="844" t="s">
        <v>404</v>
      </c>
      <c r="C26" s="845" t="s">
        <v>290</v>
      </c>
      <c r="D26" s="846">
        <v>1481</v>
      </c>
      <c r="E26" s="847">
        <v>1499</v>
      </c>
      <c r="F26" s="848">
        <f>SUM(E26/E31)*100</f>
        <v>6.2434920238243992</v>
      </c>
      <c r="H26" s="137">
        <v>17</v>
      </c>
      <c r="I26" s="440">
        <f>RANK(E26,$E$10:$E$30,1)+COUNTIF($E$10:E26,E26)-1</f>
        <v>16</v>
      </c>
      <c r="J26" s="442" t="str">
        <f>INDEX(C10:F30,MATCH(5,I10:I30,0),1)</f>
        <v>Działalność związana z obsługą rynku nieruchomości</v>
      </c>
      <c r="K26" s="446">
        <f>INDEX(C10:F30,MATCH(5,I10:I30,0),4)</f>
        <v>0.62893081761006298</v>
      </c>
    </row>
    <row r="27" spans="2:11" ht="17.25" customHeight="1" x14ac:dyDescent="0.25">
      <c r="B27" s="526" t="s">
        <v>405</v>
      </c>
      <c r="C27" s="528" t="s">
        <v>291</v>
      </c>
      <c r="D27" s="812">
        <v>429</v>
      </c>
      <c r="E27" s="818">
        <v>426</v>
      </c>
      <c r="F27" s="822">
        <f>SUM(E27/E31)*100</f>
        <v>1.7743346245158065</v>
      </c>
      <c r="H27" s="137">
        <v>18</v>
      </c>
      <c r="I27" s="441">
        <f>RANK(E27,$E$10:$E$30,1)+COUNTIF($E$10:E27,E27)-1</f>
        <v>10</v>
      </c>
      <c r="J27" s="443" t="str">
        <f>INDEX(C10:F30,MATCH(4,I10:I30,0),1)</f>
        <v>Górnictwo i wydobywanie</v>
      </c>
      <c r="K27" s="295">
        <f>INDEX(C10:F30,MATCH(4,I10:I30,0),4)</f>
        <v>0.19575992336207257</v>
      </c>
    </row>
    <row r="28" spans="2:11" ht="19.5" customHeight="1" x14ac:dyDescent="0.25">
      <c r="B28" s="526" t="s">
        <v>406</v>
      </c>
      <c r="C28" s="528" t="s">
        <v>292</v>
      </c>
      <c r="D28" s="812">
        <v>951</v>
      </c>
      <c r="E28" s="818">
        <v>856</v>
      </c>
      <c r="F28" s="822">
        <f>SUM(E28/E31)*100</f>
        <v>3.5653296680411515</v>
      </c>
      <c r="H28" s="137">
        <v>19</v>
      </c>
      <c r="I28" s="440">
        <f>RANK(E28,$E$10:$E$30,1)+COUNTIF($E$10:E28,E28)-1</f>
        <v>12</v>
      </c>
      <c r="J28" s="442" t="str">
        <f>INDEX(C10:F30,MATCH(3,I10:I30,0),1)</f>
        <v>Wytwarzanie i zaopatrywanie w energię elektryczną, gaz, parę wodną, gorącą wodę i powietrze do układów klimatyzacyjnych</v>
      </c>
      <c r="K28" s="446">
        <f>INDEX(C10:F30,MATCH(3,I10:I30,0),4)</f>
        <v>0.14994377108584281</v>
      </c>
    </row>
    <row r="29" spans="2:11" ht="26.25" customHeight="1" x14ac:dyDescent="0.25">
      <c r="B29" s="526" t="s">
        <v>407</v>
      </c>
      <c r="C29" s="528" t="s">
        <v>293</v>
      </c>
      <c r="D29" s="812">
        <v>4</v>
      </c>
      <c r="E29" s="818">
        <v>0</v>
      </c>
      <c r="F29" s="822">
        <f>SUM(E29/E31)*100</f>
        <v>0</v>
      </c>
      <c r="H29" s="137">
        <v>20</v>
      </c>
      <c r="I29" s="440">
        <f>RANK(E29,$E$10:$E$30,1)+COUNTIF($E$10:E29,E29)-1</f>
        <v>1</v>
      </c>
      <c r="J29" s="442" t="str">
        <f>INDEX(C10:F30,MATCH(2,I10:I30,0),1)</f>
        <v>Działalność niezidentyfikowana</v>
      </c>
      <c r="K29" s="446">
        <f>INDEX(C10:F30,MATCH(2,I10:I30,0),4)</f>
        <v>0</v>
      </c>
    </row>
    <row r="30" spans="2:11" ht="18.75" customHeight="1" thickBot="1" x14ac:dyDescent="0.3">
      <c r="B30" s="526" t="s">
        <v>408</v>
      </c>
      <c r="C30" s="528" t="s">
        <v>294</v>
      </c>
      <c r="D30" s="813">
        <v>0</v>
      </c>
      <c r="E30" s="819">
        <v>0</v>
      </c>
      <c r="F30" s="823">
        <f>SUM(E30/E31)*100</f>
        <v>0</v>
      </c>
      <c r="H30" s="137">
        <v>21</v>
      </c>
      <c r="I30" s="804">
        <f>RANK(E30,$E$10:$E$30,1)+COUNTIF($E$10:E30,E30)-1</f>
        <v>2</v>
      </c>
      <c r="J30" s="805" t="str">
        <f>INDEX(C10:F30,MATCH(1,I10:I30,0),1)</f>
        <v>Gospodarstwa domowe zatrudniające pracowników; gospodarstwa domowe produkujące wyroby i świadczące usługi na własne potrzeby</v>
      </c>
      <c r="K30" s="806">
        <f>INDEX(C10:F30,MATCH(1,I10:I30,0),4)</f>
        <v>0</v>
      </c>
    </row>
    <row r="31" spans="2:11" ht="16.5" customHeight="1" thickBot="1" x14ac:dyDescent="0.3">
      <c r="B31" s="852" t="s">
        <v>93</v>
      </c>
      <c r="C31" s="853" t="s">
        <v>50</v>
      </c>
      <c r="D31" s="849">
        <f>SUM(D10:D30)</f>
        <v>27965</v>
      </c>
      <c r="E31" s="850">
        <f>SUM(E10:E30)</f>
        <v>24009</v>
      </c>
      <c r="F31" s="851">
        <f>SUM(E31/E31)*100</f>
        <v>100</v>
      </c>
      <c r="I31" s="801"/>
      <c r="J31" s="802"/>
      <c r="K31" s="803"/>
    </row>
    <row r="32" spans="2:11" x14ac:dyDescent="0.25">
      <c r="C32" s="11" t="s">
        <v>552</v>
      </c>
      <c r="E32" s="366"/>
    </row>
    <row r="33" spans="3:8" x14ac:dyDescent="0.25">
      <c r="C33" s="11" t="s">
        <v>389</v>
      </c>
      <c r="E33" s="366"/>
    </row>
    <row r="34" spans="3:8" x14ac:dyDescent="0.25">
      <c r="F34" s="11" t="s">
        <v>161</v>
      </c>
      <c r="G34" s="366">
        <f>SUM(E10)</f>
        <v>266</v>
      </c>
      <c r="H34" s="299">
        <f>SUM(G34/G38)*100</f>
        <v>1.1079178641342831</v>
      </c>
    </row>
    <row r="35" spans="3:8" x14ac:dyDescent="0.25">
      <c r="F35" s="11" t="s">
        <v>409</v>
      </c>
      <c r="G35" s="366">
        <f>SUM(E11:E15)</f>
        <v>7981</v>
      </c>
      <c r="H35" s="763">
        <f>SUM(G35/G38)*100</f>
        <v>33.241701028780874</v>
      </c>
    </row>
    <row r="36" spans="3:8" x14ac:dyDescent="0.25">
      <c r="F36" s="11" t="s">
        <v>395</v>
      </c>
      <c r="G36" s="366">
        <f>SUM(E16)</f>
        <v>3377</v>
      </c>
      <c r="H36" s="299">
        <f>SUM(G36/G38)*100</f>
        <v>14.06555874880253</v>
      </c>
    </row>
    <row r="37" spans="3:8" x14ac:dyDescent="0.25">
      <c r="F37" s="11" t="s">
        <v>410</v>
      </c>
      <c r="G37" s="366">
        <f>SUM(E17:E30)</f>
        <v>12385</v>
      </c>
      <c r="H37" s="299">
        <f>SUM(G37/G38)*100</f>
        <v>51.58482235828231</v>
      </c>
    </row>
    <row r="38" spans="3:8" x14ac:dyDescent="0.25">
      <c r="G38" s="366">
        <f>SUM(G34:G37)</f>
        <v>24009</v>
      </c>
      <c r="H38" s="299">
        <f>SUM(H34:H37)</f>
        <v>100</v>
      </c>
    </row>
    <row r="40" spans="3:8" x14ac:dyDescent="0.25">
      <c r="F40" s="11" t="s">
        <v>161</v>
      </c>
      <c r="G40" s="366">
        <f>SUM(D10)</f>
        <v>466</v>
      </c>
      <c r="H40" s="299">
        <f>SUM(G40/G44)*100</f>
        <v>1.6663686751296263</v>
      </c>
    </row>
    <row r="41" spans="3:8" x14ac:dyDescent="0.25">
      <c r="F41" s="11" t="s">
        <v>409</v>
      </c>
      <c r="G41" s="366">
        <f>SUM(D11:D15)</f>
        <v>10049</v>
      </c>
      <c r="H41" s="763">
        <f>SUM(G41/G44)*100</f>
        <v>35.93420346862149</v>
      </c>
    </row>
    <row r="42" spans="3:8" x14ac:dyDescent="0.25">
      <c r="F42" s="11" t="s">
        <v>395</v>
      </c>
      <c r="G42" s="366">
        <f>SUM(D16)</f>
        <v>4166</v>
      </c>
      <c r="H42" s="299">
        <f>SUM(G42/G44)*100</f>
        <v>14.89719291972108</v>
      </c>
    </row>
    <row r="43" spans="3:8" x14ac:dyDescent="0.25">
      <c r="F43" s="11" t="s">
        <v>410</v>
      </c>
      <c r="G43" s="366">
        <f>SUM(D17:D30)</f>
        <v>13284</v>
      </c>
      <c r="H43" s="299">
        <f>SUM(G43/G44)*100</f>
        <v>47.502234936527806</v>
      </c>
    </row>
    <row r="44" spans="3:8" x14ac:dyDescent="0.25">
      <c r="G44" s="366">
        <f>SUM(G40:G43)</f>
        <v>27965</v>
      </c>
      <c r="H44" s="299">
        <f>SUM(H40:H43)</f>
        <v>100</v>
      </c>
    </row>
  </sheetData>
  <mergeCells count="7">
    <mergeCell ref="K6:K7"/>
    <mergeCell ref="C3:E3"/>
    <mergeCell ref="C4:E4"/>
    <mergeCell ref="C2:E2"/>
    <mergeCell ref="F6:F7"/>
    <mergeCell ref="I6:I7"/>
    <mergeCell ref="J6:J7"/>
  </mergeCells>
  <printOptions horizontalCentered="1"/>
  <pageMargins left="0.31496062992125984" right="0" top="1.7322834645669292" bottom="0" header="0" footer="0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5" tint="0.59999389629810485"/>
    <pageSetUpPr fitToPage="1"/>
  </sheetPr>
  <dimension ref="B1:J20"/>
  <sheetViews>
    <sheetView workbookViewId="0">
      <selection activeCell="B1" sqref="B1"/>
    </sheetView>
  </sheetViews>
  <sheetFormatPr defaultColWidth="9.140625" defaultRowHeight="15" x14ac:dyDescent="0.25"/>
  <cols>
    <col min="1" max="1" width="4.42578125" style="11" customWidth="1"/>
    <col min="2" max="2" width="53.7109375" style="11" customWidth="1"/>
    <col min="3" max="3" width="9.28515625" style="11" customWidth="1"/>
    <col min="4" max="4" width="9.85546875" style="11" customWidth="1"/>
    <col min="5" max="5" width="10" style="11" customWidth="1"/>
    <col min="6" max="6" width="9.42578125" style="11" customWidth="1"/>
    <col min="7" max="7" width="12.5703125" style="11" customWidth="1"/>
    <col min="8" max="8" width="12.28515625" style="11" customWidth="1"/>
    <col min="9" max="9" width="2.7109375" style="11" customWidth="1"/>
    <col min="10" max="10" width="6.28515625" style="11" customWidth="1"/>
    <col min="11" max="16384" width="9.140625" style="11"/>
  </cols>
  <sheetData>
    <row r="1" spans="2:9" ht="12.75" customHeight="1" x14ac:dyDescent="0.25"/>
    <row r="2" spans="2:9" x14ac:dyDescent="0.25">
      <c r="B2" s="11" t="s">
        <v>574</v>
      </c>
    </row>
    <row r="3" spans="2:9" x14ac:dyDescent="0.25">
      <c r="B3" s="11" t="s">
        <v>331</v>
      </c>
    </row>
    <row r="4" spans="2:9" ht="12.75" customHeight="1" thickBot="1" x14ac:dyDescent="0.3"/>
    <row r="5" spans="2:9" ht="31.5" customHeight="1" x14ac:dyDescent="0.25">
      <c r="B5" s="1018" t="s">
        <v>160</v>
      </c>
      <c r="C5" s="1020" t="s">
        <v>178</v>
      </c>
      <c r="D5" s="1022" t="s">
        <v>106</v>
      </c>
      <c r="E5" s="1023"/>
      <c r="F5" s="1024"/>
      <c r="G5" s="1018" t="s">
        <v>422</v>
      </c>
      <c r="H5" s="1025"/>
      <c r="I5" s="415"/>
    </row>
    <row r="6" spans="2:9" ht="48" customHeight="1" thickBot="1" x14ac:dyDescent="0.3">
      <c r="B6" s="1019"/>
      <c r="C6" s="1021"/>
      <c r="D6" s="764" t="s">
        <v>412</v>
      </c>
      <c r="E6" s="765" t="s">
        <v>485</v>
      </c>
      <c r="F6" s="766" t="s">
        <v>486</v>
      </c>
      <c r="G6" s="767" t="s">
        <v>423</v>
      </c>
      <c r="H6" s="768" t="s">
        <v>424</v>
      </c>
      <c r="I6" s="415"/>
    </row>
    <row r="7" spans="2:9" ht="36" customHeight="1" x14ac:dyDescent="0.25">
      <c r="B7" s="790" t="s">
        <v>167</v>
      </c>
      <c r="C7" s="795">
        <v>1</v>
      </c>
      <c r="D7" s="355">
        <v>527</v>
      </c>
      <c r="E7" s="190">
        <v>533</v>
      </c>
      <c r="F7" s="191">
        <v>543</v>
      </c>
      <c r="G7" s="358">
        <f>SUM(F7)-E7</f>
        <v>10</v>
      </c>
      <c r="H7" s="360">
        <f>SUM(F7-E7)/E7*100</f>
        <v>1.876172607879925</v>
      </c>
      <c r="I7" s="413"/>
    </row>
    <row r="8" spans="2:9" ht="24" customHeight="1" x14ac:dyDescent="0.25">
      <c r="B8" s="791" t="s">
        <v>168</v>
      </c>
      <c r="C8" s="796">
        <v>2</v>
      </c>
      <c r="D8" s="356">
        <v>8092</v>
      </c>
      <c r="E8" s="132">
        <v>7883</v>
      </c>
      <c r="F8" s="133">
        <v>7390</v>
      </c>
      <c r="G8" s="356">
        <f t="shared" ref="G8:G19" si="0">SUM(F8)-E8</f>
        <v>-493</v>
      </c>
      <c r="H8" s="211">
        <f t="shared" ref="H8:H19" si="1">SUM(F8-E8)/E8*100</f>
        <v>-6.2539642268172022</v>
      </c>
      <c r="I8" s="413"/>
    </row>
    <row r="9" spans="2:9" ht="23.25" customHeight="1" x14ac:dyDescent="0.25">
      <c r="B9" s="791" t="s">
        <v>169</v>
      </c>
      <c r="C9" s="796">
        <v>3</v>
      </c>
      <c r="D9" s="356">
        <v>9761</v>
      </c>
      <c r="E9" s="132">
        <v>9900</v>
      </c>
      <c r="F9" s="133">
        <v>9348</v>
      </c>
      <c r="G9" s="356">
        <f t="shared" si="0"/>
        <v>-552</v>
      </c>
      <c r="H9" s="211">
        <f t="shared" si="1"/>
        <v>-5.5757575757575752</v>
      </c>
      <c r="I9" s="413"/>
    </row>
    <row r="10" spans="2:9" ht="22.5" customHeight="1" x14ac:dyDescent="0.25">
      <c r="B10" s="791" t="s">
        <v>170</v>
      </c>
      <c r="C10" s="796">
        <v>4</v>
      </c>
      <c r="D10" s="356">
        <v>2966</v>
      </c>
      <c r="E10" s="132">
        <v>2939</v>
      </c>
      <c r="F10" s="133">
        <v>2867</v>
      </c>
      <c r="G10" s="356">
        <f t="shared" si="0"/>
        <v>-72</v>
      </c>
      <c r="H10" s="211">
        <f t="shared" si="1"/>
        <v>-2.4498128615175232</v>
      </c>
      <c r="I10" s="413"/>
    </row>
    <row r="11" spans="2:9" ht="24.75" customHeight="1" x14ac:dyDescent="0.25">
      <c r="B11" s="791" t="s">
        <v>171</v>
      </c>
      <c r="C11" s="796">
        <v>5</v>
      </c>
      <c r="D11" s="356">
        <v>13236</v>
      </c>
      <c r="E11" s="132">
        <v>13111</v>
      </c>
      <c r="F11" s="133">
        <v>12482</v>
      </c>
      <c r="G11" s="356">
        <f t="shared" si="0"/>
        <v>-629</v>
      </c>
      <c r="H11" s="211">
        <f>SUM(F11-E11)/E11*100</f>
        <v>-4.7974982838837619</v>
      </c>
      <c r="I11" s="413"/>
    </row>
    <row r="12" spans="2:9" ht="24" customHeight="1" x14ac:dyDescent="0.25">
      <c r="B12" s="791" t="s">
        <v>172</v>
      </c>
      <c r="C12" s="796">
        <v>6</v>
      </c>
      <c r="D12" s="356">
        <v>1006</v>
      </c>
      <c r="E12" s="132">
        <v>1062</v>
      </c>
      <c r="F12" s="133">
        <v>925</v>
      </c>
      <c r="G12" s="356">
        <f>SUM(F12)-E12</f>
        <v>-137</v>
      </c>
      <c r="H12" s="211">
        <f t="shared" si="1"/>
        <v>-12.900188323917137</v>
      </c>
      <c r="I12" s="413"/>
    </row>
    <row r="13" spans="2:9" ht="21.75" customHeight="1" x14ac:dyDescent="0.25">
      <c r="B13" s="791" t="s">
        <v>173</v>
      </c>
      <c r="C13" s="796">
        <v>7</v>
      </c>
      <c r="D13" s="356">
        <v>15107</v>
      </c>
      <c r="E13" s="132">
        <v>15434</v>
      </c>
      <c r="F13" s="133">
        <v>14560</v>
      </c>
      <c r="G13" s="356">
        <f>SUM(F13)-E13</f>
        <v>-874</v>
      </c>
      <c r="H13" s="211">
        <f t="shared" si="1"/>
        <v>-5.6628223402876765</v>
      </c>
      <c r="I13" s="413"/>
    </row>
    <row r="14" spans="2:9" ht="25.5" customHeight="1" x14ac:dyDescent="0.25">
      <c r="B14" s="791" t="s">
        <v>174</v>
      </c>
      <c r="C14" s="796">
        <v>8</v>
      </c>
      <c r="D14" s="356">
        <v>3758</v>
      </c>
      <c r="E14" s="132">
        <v>3755</v>
      </c>
      <c r="F14" s="133">
        <v>3434</v>
      </c>
      <c r="G14" s="356">
        <f t="shared" si="0"/>
        <v>-321</v>
      </c>
      <c r="H14" s="211">
        <f t="shared" si="1"/>
        <v>-8.5486018641810926</v>
      </c>
      <c r="I14" s="413"/>
    </row>
    <row r="15" spans="2:9" ht="21" customHeight="1" x14ac:dyDescent="0.25">
      <c r="B15" s="791" t="s">
        <v>175</v>
      </c>
      <c r="C15" s="796">
        <v>9</v>
      </c>
      <c r="D15" s="356">
        <v>5460</v>
      </c>
      <c r="E15" s="132">
        <v>5634</v>
      </c>
      <c r="F15" s="133">
        <v>5211</v>
      </c>
      <c r="G15" s="356">
        <f t="shared" si="0"/>
        <v>-423</v>
      </c>
      <c r="H15" s="211">
        <f t="shared" si="1"/>
        <v>-7.5079872204472844</v>
      </c>
      <c r="I15" s="413"/>
    </row>
    <row r="16" spans="2:9" ht="22.5" customHeight="1" thickBot="1" x14ac:dyDescent="0.3">
      <c r="B16" s="792" t="s">
        <v>182</v>
      </c>
      <c r="C16" s="797">
        <v>0</v>
      </c>
      <c r="D16" s="357">
        <v>26</v>
      </c>
      <c r="E16" s="195">
        <v>30</v>
      </c>
      <c r="F16" s="196">
        <v>30</v>
      </c>
      <c r="G16" s="381">
        <f t="shared" si="0"/>
        <v>0</v>
      </c>
      <c r="H16" s="212">
        <f t="shared" si="1"/>
        <v>0</v>
      </c>
      <c r="I16" s="413"/>
    </row>
    <row r="17" spans="2:10" ht="24" customHeight="1" x14ac:dyDescent="0.25">
      <c r="B17" s="790" t="s">
        <v>176</v>
      </c>
      <c r="C17" s="798" t="s">
        <v>161</v>
      </c>
      <c r="D17" s="859">
        <v>9077</v>
      </c>
      <c r="E17" s="226">
        <v>8765</v>
      </c>
      <c r="F17" s="227">
        <v>8274</v>
      </c>
      <c r="G17" s="358">
        <f>SUM(F17)-E17</f>
        <v>-491</v>
      </c>
      <c r="H17" s="360">
        <f>SUM(F17-E17)/E17*100</f>
        <v>-5.6018254420992584</v>
      </c>
      <c r="I17" s="413"/>
      <c r="J17" s="299">
        <f>SUM(F17/F19*100)</f>
        <v>12.716709701217264</v>
      </c>
    </row>
    <row r="18" spans="2:10" ht="26.25" customHeight="1" thickBot="1" x14ac:dyDescent="0.3">
      <c r="B18" s="793" t="s">
        <v>177</v>
      </c>
      <c r="C18" s="799" t="s">
        <v>162</v>
      </c>
      <c r="D18" s="359">
        <f>SUM(D7:D16)</f>
        <v>59939</v>
      </c>
      <c r="E18" s="134">
        <f>SUM(E7:E16)</f>
        <v>60281</v>
      </c>
      <c r="F18" s="134">
        <f>SUM(F7:F16)</f>
        <v>56790</v>
      </c>
      <c r="G18" s="359">
        <f>SUM(F18)-E18</f>
        <v>-3491</v>
      </c>
      <c r="H18" s="230">
        <f t="shared" si="1"/>
        <v>-5.7912111610623578</v>
      </c>
      <c r="I18" s="413"/>
      <c r="J18" s="299">
        <f>SUM(D17/D19*100)</f>
        <v>13.152022719369421</v>
      </c>
    </row>
    <row r="19" spans="2:10" ht="23.25" customHeight="1" thickBot="1" x14ac:dyDescent="0.3">
      <c r="B19" s="794" t="s">
        <v>50</v>
      </c>
      <c r="C19" s="800" t="s">
        <v>163</v>
      </c>
      <c r="D19" s="769">
        <f>SUM(D17:D18)</f>
        <v>69016</v>
      </c>
      <c r="E19" s="770">
        <f>SUM(E17:E18)</f>
        <v>69046</v>
      </c>
      <c r="F19" s="771">
        <f>SUM(F17:F18)</f>
        <v>65064</v>
      </c>
      <c r="G19" s="769">
        <f t="shared" si="0"/>
        <v>-3982</v>
      </c>
      <c r="H19" s="772">
        <f t="shared" si="1"/>
        <v>-5.7671697129449928</v>
      </c>
      <c r="I19" s="414"/>
    </row>
    <row r="20" spans="2:10" x14ac:dyDescent="0.25">
      <c r="D20" s="137">
        <f>SUM(D7:D17)</f>
        <v>69016</v>
      </c>
      <c r="E20" s="137">
        <f>SUM(E7:E17)</f>
        <v>69046</v>
      </c>
      <c r="F20" s="137">
        <f>SUM(F7:F17)</f>
        <v>65064</v>
      </c>
      <c r="G20" s="366">
        <f>SUM(G7:G17)</f>
        <v>-3982</v>
      </c>
      <c r="H20" s="299"/>
    </row>
  </sheetData>
  <mergeCells count="4">
    <mergeCell ref="B5:B6"/>
    <mergeCell ref="C5:C6"/>
    <mergeCell ref="D5:F5"/>
    <mergeCell ref="G5:H5"/>
  </mergeCells>
  <printOptions horizontalCentered="1"/>
  <pageMargins left="0.6692913385826772" right="0.6692913385826772" top="1.3779527559055118" bottom="0" header="0.31496062992125984" footer="0.31496062992125984"/>
  <pageSetup paperSize="9" scale="9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</sheetPr>
  <dimension ref="B1:G66"/>
  <sheetViews>
    <sheetView workbookViewId="0">
      <selection activeCell="B1" sqref="B1"/>
    </sheetView>
  </sheetViews>
  <sheetFormatPr defaultColWidth="9.140625" defaultRowHeight="15" x14ac:dyDescent="0.25"/>
  <cols>
    <col min="1" max="1" width="2.140625" style="11" customWidth="1"/>
    <col min="2" max="2" width="60.7109375" style="11" customWidth="1"/>
    <col min="3" max="3" width="10.85546875" style="11" customWidth="1"/>
    <col min="4" max="4" width="12.42578125" style="11" customWidth="1"/>
    <col min="5" max="5" width="9" style="11" customWidth="1"/>
    <col min="6" max="6" width="12" style="11" customWidth="1"/>
    <col min="7" max="16384" width="9.140625" style="11"/>
  </cols>
  <sheetData>
    <row r="1" spans="2:7" ht="11.25" customHeight="1" x14ac:dyDescent="0.25"/>
    <row r="2" spans="2:7" x14ac:dyDescent="0.25">
      <c r="B2" s="11" t="s">
        <v>378</v>
      </c>
    </row>
    <row r="3" spans="2:7" x14ac:dyDescent="0.25">
      <c r="B3" s="11" t="s">
        <v>330</v>
      </c>
    </row>
    <row r="4" spans="2:7" ht="13.5" customHeight="1" thickBot="1" x14ac:dyDescent="0.3"/>
    <row r="5" spans="2:7" ht="45.75" thickBot="1" x14ac:dyDescent="0.3">
      <c r="B5" s="682" t="s">
        <v>160</v>
      </c>
      <c r="C5" s="683" t="s">
        <v>178</v>
      </c>
      <c r="D5" s="685" t="s">
        <v>427</v>
      </c>
      <c r="E5" s="686" t="s">
        <v>425</v>
      </c>
      <c r="F5" s="683" t="s">
        <v>520</v>
      </c>
      <c r="G5" s="684" t="s">
        <v>426</v>
      </c>
    </row>
    <row r="6" spans="2:7" ht="28.5" x14ac:dyDescent="0.25">
      <c r="B6" s="216" t="s">
        <v>223</v>
      </c>
      <c r="C6" s="217">
        <v>1</v>
      </c>
      <c r="D6" s="217">
        <f>SUM(D7:D10)</f>
        <v>527</v>
      </c>
      <c r="E6" s="228">
        <f>SUM(D6/D60)*100</f>
        <v>0.87922721433457351</v>
      </c>
      <c r="F6" s="217">
        <f>SUM(F7:F10)</f>
        <v>543</v>
      </c>
      <c r="G6" s="228">
        <f>SUM(F6/F60)*100</f>
        <v>0.95615425250924457</v>
      </c>
    </row>
    <row r="7" spans="2:7" ht="30" x14ac:dyDescent="0.25">
      <c r="B7" s="192" t="s">
        <v>224</v>
      </c>
      <c r="C7" s="193">
        <v>11</v>
      </c>
      <c r="D7" s="193">
        <v>54</v>
      </c>
      <c r="E7" s="211">
        <f>SUM(D7)/D6*100</f>
        <v>10.246679316888045</v>
      </c>
      <c r="F7" s="193">
        <v>55</v>
      </c>
      <c r="G7" s="211">
        <f>SUM(F7)/F6*100</f>
        <v>10.128913443830571</v>
      </c>
    </row>
    <row r="8" spans="2:7" x14ac:dyDescent="0.25">
      <c r="B8" s="192" t="s">
        <v>179</v>
      </c>
      <c r="C8" s="193">
        <v>12</v>
      </c>
      <c r="D8" s="193">
        <v>124</v>
      </c>
      <c r="E8" s="211">
        <f>SUM(D8)/D6*100</f>
        <v>23.52941176470588</v>
      </c>
      <c r="F8" s="193">
        <v>116</v>
      </c>
      <c r="G8" s="211">
        <f>SUM(F8)/F6*100</f>
        <v>21.36279926335175</v>
      </c>
    </row>
    <row r="9" spans="2:7" x14ac:dyDescent="0.25">
      <c r="B9" s="192" t="s">
        <v>180</v>
      </c>
      <c r="C9" s="193">
        <v>13</v>
      </c>
      <c r="D9" s="193">
        <v>84</v>
      </c>
      <c r="E9" s="211">
        <f>SUM(D9)/D6*100</f>
        <v>15.939278937381404</v>
      </c>
      <c r="F9" s="193">
        <v>93</v>
      </c>
      <c r="G9" s="211">
        <f>SUM(F9)/F6*100</f>
        <v>17.127071823204421</v>
      </c>
    </row>
    <row r="10" spans="2:7" ht="18" customHeight="1" x14ac:dyDescent="0.25">
      <c r="B10" s="192" t="s">
        <v>181</v>
      </c>
      <c r="C10" s="193">
        <v>14</v>
      </c>
      <c r="D10" s="193">
        <v>265</v>
      </c>
      <c r="E10" s="212">
        <f>SUM(D10)/D6*100</f>
        <v>50.284629981024665</v>
      </c>
      <c r="F10" s="193">
        <v>279</v>
      </c>
      <c r="G10" s="212">
        <f>SUM(F10)/F6*100</f>
        <v>51.381215469613259</v>
      </c>
    </row>
    <row r="11" spans="2:7" x14ac:dyDescent="0.25">
      <c r="B11" s="213" t="s">
        <v>168</v>
      </c>
      <c r="C11" s="214">
        <v>2</v>
      </c>
      <c r="D11" s="215">
        <f>SUM(D12:D17)</f>
        <v>8092</v>
      </c>
      <c r="E11" s="229">
        <f>SUM(D11/D60)*100</f>
        <v>13.500392065266354</v>
      </c>
      <c r="F11" s="215">
        <f>SUM(F12:F17)</f>
        <v>7390</v>
      </c>
      <c r="G11" s="229">
        <f>SUM(F11/F60)*100</f>
        <v>13.012854375770383</v>
      </c>
    </row>
    <row r="12" spans="2:7" x14ac:dyDescent="0.25">
      <c r="B12" s="192" t="s">
        <v>184</v>
      </c>
      <c r="C12" s="193">
        <v>21</v>
      </c>
      <c r="D12" s="132">
        <v>1552</v>
      </c>
      <c r="E12" s="211">
        <f>SUM(D12)/D11*100</f>
        <v>19.179436480474543</v>
      </c>
      <c r="F12" s="132">
        <v>1504</v>
      </c>
      <c r="G12" s="211">
        <f>SUM(F12)/F11*100</f>
        <v>20.351826792963465</v>
      </c>
    </row>
    <row r="13" spans="2:7" x14ac:dyDescent="0.25">
      <c r="B13" s="192" t="s">
        <v>185</v>
      </c>
      <c r="C13" s="193">
        <v>22</v>
      </c>
      <c r="D13" s="193">
        <v>469</v>
      </c>
      <c r="E13" s="211">
        <f>SUM(D13)/D11*100</f>
        <v>5.7958477508650521</v>
      </c>
      <c r="F13" s="193">
        <v>428</v>
      </c>
      <c r="G13" s="211">
        <f>SUM(F13)/F11*100</f>
        <v>5.7916102841677937</v>
      </c>
    </row>
    <row r="14" spans="2:7" x14ac:dyDescent="0.25">
      <c r="B14" s="192" t="s">
        <v>186</v>
      </c>
      <c r="C14" s="193">
        <v>23</v>
      </c>
      <c r="D14" s="132">
        <v>1264</v>
      </c>
      <c r="E14" s="211">
        <f>SUM(D14)/D11*100</f>
        <v>15.620365793376173</v>
      </c>
      <c r="F14" s="132">
        <v>1102</v>
      </c>
      <c r="G14" s="211">
        <f>SUM(F14)/F11*100</f>
        <v>14.912043301759134</v>
      </c>
    </row>
    <row r="15" spans="2:7" x14ac:dyDescent="0.25">
      <c r="B15" s="192" t="s">
        <v>187</v>
      </c>
      <c r="C15" s="193">
        <v>24</v>
      </c>
      <c r="D15" s="132">
        <v>2783</v>
      </c>
      <c r="E15" s="211">
        <f>SUM(D15)/D11*100</f>
        <v>34.391992090954027</v>
      </c>
      <c r="F15" s="132">
        <v>2478</v>
      </c>
      <c r="G15" s="211">
        <f>SUM(F15)/F11*100</f>
        <v>33.531799729364003</v>
      </c>
    </row>
    <row r="16" spans="2:7" x14ac:dyDescent="0.25">
      <c r="B16" s="192" t="s">
        <v>188</v>
      </c>
      <c r="C16" s="193">
        <v>25</v>
      </c>
      <c r="D16" s="193">
        <v>195</v>
      </c>
      <c r="E16" s="211">
        <f>SUM(D16)/D11*100</f>
        <v>2.4097874443895204</v>
      </c>
      <c r="F16" s="193">
        <v>197</v>
      </c>
      <c r="G16" s="211">
        <f>SUM(F16)/F11*100</f>
        <v>2.6657645466847089</v>
      </c>
    </row>
    <row r="17" spans="2:7" x14ac:dyDescent="0.25">
      <c r="B17" s="192" t="s">
        <v>189</v>
      </c>
      <c r="C17" s="193">
        <v>26</v>
      </c>
      <c r="D17" s="132">
        <v>1829</v>
      </c>
      <c r="E17" s="211">
        <f>SUM(D17)/D11*100</f>
        <v>22.602570439940685</v>
      </c>
      <c r="F17" s="132">
        <v>1681</v>
      </c>
      <c r="G17" s="211">
        <f>SUM(F17)/F11*100</f>
        <v>22.746955345060893</v>
      </c>
    </row>
    <row r="18" spans="2:7" x14ac:dyDescent="0.25">
      <c r="B18" s="213" t="s">
        <v>169</v>
      </c>
      <c r="C18" s="214">
        <v>3</v>
      </c>
      <c r="D18" s="215">
        <f>SUM(D19:D23)</f>
        <v>9761</v>
      </c>
      <c r="E18" s="229">
        <f>SUM(D18)/D60*100</f>
        <v>16.284889637798429</v>
      </c>
      <c r="F18" s="215">
        <f>SUM(F19:F23)</f>
        <v>9348</v>
      </c>
      <c r="G18" s="229">
        <f>SUM(F18)/F60*100</f>
        <v>16.460644479661912</v>
      </c>
    </row>
    <row r="19" spans="2:7" x14ac:dyDescent="0.25">
      <c r="B19" s="192" t="s">
        <v>190</v>
      </c>
      <c r="C19" s="193">
        <v>31</v>
      </c>
      <c r="D19" s="132">
        <v>4076</v>
      </c>
      <c r="E19" s="211">
        <f>SUM(D19)/D18*100</f>
        <v>41.758016596660177</v>
      </c>
      <c r="F19" s="132">
        <v>3896</v>
      </c>
      <c r="G19" s="211">
        <f>SUM(F19)/F18*100</f>
        <v>41.677364142062473</v>
      </c>
    </row>
    <row r="20" spans="2:7" x14ac:dyDescent="0.25">
      <c r="B20" s="192" t="s">
        <v>191</v>
      </c>
      <c r="C20" s="193">
        <v>32</v>
      </c>
      <c r="D20" s="132">
        <v>1610</v>
      </c>
      <c r="E20" s="211">
        <f>SUM(D20)/D18*100</f>
        <v>16.494211658641532</v>
      </c>
      <c r="F20" s="132">
        <v>1500</v>
      </c>
      <c r="G20" s="211">
        <f>SUM(F20)/F18*100</f>
        <v>16.046213093709884</v>
      </c>
    </row>
    <row r="21" spans="2:7" x14ac:dyDescent="0.25">
      <c r="B21" s="192" t="s">
        <v>192</v>
      </c>
      <c r="C21" s="193">
        <v>33</v>
      </c>
      <c r="D21" s="132">
        <v>2491</v>
      </c>
      <c r="E21" s="211">
        <f>SUM(D21)/D18*100</f>
        <v>25.519926237065878</v>
      </c>
      <c r="F21" s="132">
        <v>2333</v>
      </c>
      <c r="G21" s="211">
        <f>SUM(F21)/F18*100</f>
        <v>24.957210098416773</v>
      </c>
    </row>
    <row r="22" spans="2:7" ht="30" x14ac:dyDescent="0.25">
      <c r="B22" s="192" t="s">
        <v>193</v>
      </c>
      <c r="C22" s="193">
        <v>34</v>
      </c>
      <c r="D22" s="132">
        <v>1077</v>
      </c>
      <c r="E22" s="211">
        <f>SUM(D22)/D18*100</f>
        <v>11.033705562954616</v>
      </c>
      <c r="F22" s="132">
        <v>1092</v>
      </c>
      <c r="G22" s="211">
        <f>SUM(F22)/F18*100</f>
        <v>11.681643132220795</v>
      </c>
    </row>
    <row r="23" spans="2:7" x14ac:dyDescent="0.25">
      <c r="B23" s="192" t="s">
        <v>194</v>
      </c>
      <c r="C23" s="193">
        <v>35</v>
      </c>
      <c r="D23" s="193">
        <v>507</v>
      </c>
      <c r="E23" s="211">
        <f>SUM(D23)/D18*100</f>
        <v>5.1941399446777998</v>
      </c>
      <c r="F23" s="193">
        <v>527</v>
      </c>
      <c r="G23" s="211">
        <f>SUM(F23)/F18*100</f>
        <v>5.6375695335900726</v>
      </c>
    </row>
    <row r="24" spans="2:7" x14ac:dyDescent="0.25">
      <c r="B24" s="213" t="s">
        <v>170</v>
      </c>
      <c r="C24" s="214">
        <v>4</v>
      </c>
      <c r="D24" s="215">
        <f>SUM(D25:D28)</f>
        <v>2966</v>
      </c>
      <c r="E24" s="229">
        <f>SUM(D24)/D60*100</f>
        <v>4.9483641702397438</v>
      </c>
      <c r="F24" s="215">
        <f>SUM(F25:F28)</f>
        <v>2867</v>
      </c>
      <c r="G24" s="229">
        <f>SUM(F24)/F60*100</f>
        <v>5.0484240183130833</v>
      </c>
    </row>
    <row r="25" spans="2:7" x14ac:dyDescent="0.25">
      <c r="B25" s="192" t="s">
        <v>195</v>
      </c>
      <c r="C25" s="193">
        <v>41</v>
      </c>
      <c r="D25" s="132">
        <v>1045</v>
      </c>
      <c r="E25" s="211">
        <f>SUM(D25)/D24*100</f>
        <v>35.232636547538768</v>
      </c>
      <c r="F25" s="132">
        <v>1003</v>
      </c>
      <c r="G25" s="211">
        <f>SUM(F25)/F24*100</f>
        <v>34.984304150680153</v>
      </c>
    </row>
    <row r="26" spans="2:7" x14ac:dyDescent="0.25">
      <c r="B26" s="192" t="s">
        <v>196</v>
      </c>
      <c r="C26" s="193">
        <v>42</v>
      </c>
      <c r="D26" s="193">
        <v>679</v>
      </c>
      <c r="E26" s="211">
        <f>SUM(D26)/D24*100</f>
        <v>22.89278489548213</v>
      </c>
      <c r="F26" s="193">
        <v>646</v>
      </c>
      <c r="G26" s="211">
        <f>SUM(F26)/F24*100</f>
        <v>22.532263690268572</v>
      </c>
    </row>
    <row r="27" spans="2:7" ht="30" x14ac:dyDescent="0.25">
      <c r="B27" s="192" t="s">
        <v>197</v>
      </c>
      <c r="C27" s="193">
        <v>43</v>
      </c>
      <c r="D27" s="132">
        <v>1087</v>
      </c>
      <c r="E27" s="211">
        <f>SUM(D27)/D24*100</f>
        <v>36.648685097774781</v>
      </c>
      <c r="F27" s="132">
        <v>1083</v>
      </c>
      <c r="G27" s="211">
        <f>SUM(F27)/F24*100</f>
        <v>37.774677363097311</v>
      </c>
    </row>
    <row r="28" spans="2:7" x14ac:dyDescent="0.25">
      <c r="B28" s="192" t="s">
        <v>198</v>
      </c>
      <c r="C28" s="193">
        <v>44</v>
      </c>
      <c r="D28" s="193">
        <v>155</v>
      </c>
      <c r="E28" s="211">
        <f>SUM(D28)/D24*100</f>
        <v>5.2258934592043156</v>
      </c>
      <c r="F28" s="193">
        <v>135</v>
      </c>
      <c r="G28" s="211">
        <f>SUM(F28)/F24*100</f>
        <v>4.7087547959539586</v>
      </c>
    </row>
    <row r="29" spans="2:7" x14ac:dyDescent="0.25">
      <c r="B29" s="213" t="s">
        <v>171</v>
      </c>
      <c r="C29" s="214">
        <v>5</v>
      </c>
      <c r="D29" s="215">
        <f>SUM(D30:D33)</f>
        <v>13236</v>
      </c>
      <c r="E29" s="229">
        <f>SUM(D29)/D60*100</f>
        <v>22.082450491332857</v>
      </c>
      <c r="F29" s="215">
        <f>SUM(F30:F33)</f>
        <v>12482</v>
      </c>
      <c r="G29" s="229">
        <f>SUM(F29)/F60*100</f>
        <v>21.979221693960206</v>
      </c>
    </row>
    <row r="30" spans="2:7" x14ac:dyDescent="0.25">
      <c r="B30" s="192" t="s">
        <v>199</v>
      </c>
      <c r="C30" s="193">
        <v>51</v>
      </c>
      <c r="D30" s="132">
        <v>6012</v>
      </c>
      <c r="E30" s="211">
        <f>SUM(D30)/D29*100</f>
        <v>45.42157751586582</v>
      </c>
      <c r="F30" s="132">
        <v>5808</v>
      </c>
      <c r="G30" s="211">
        <f>SUM(F30)/F29*100</f>
        <v>46.531004646691237</v>
      </c>
    </row>
    <row r="31" spans="2:7" x14ac:dyDescent="0.25">
      <c r="B31" s="192" t="s">
        <v>200</v>
      </c>
      <c r="C31" s="193">
        <v>52</v>
      </c>
      <c r="D31" s="132">
        <v>6537</v>
      </c>
      <c r="E31" s="211">
        <f>SUM(D31)/D29*100</f>
        <v>49.388032638259297</v>
      </c>
      <c r="F31" s="132">
        <v>6035</v>
      </c>
      <c r="G31" s="211">
        <f>SUM(F31)/F29*100</f>
        <v>48.349623457779202</v>
      </c>
    </row>
    <row r="32" spans="2:7" x14ac:dyDescent="0.25">
      <c r="B32" s="192" t="s">
        <v>201</v>
      </c>
      <c r="C32" s="193">
        <v>53</v>
      </c>
      <c r="D32" s="193">
        <v>379</v>
      </c>
      <c r="E32" s="211">
        <f>SUM(D32)/D29*100</f>
        <v>2.8634028407373826</v>
      </c>
      <c r="F32" s="193">
        <v>358</v>
      </c>
      <c r="G32" s="211">
        <f>SUM(F32)/F29*100</f>
        <v>2.8681301073545904</v>
      </c>
    </row>
    <row r="33" spans="2:7" x14ac:dyDescent="0.25">
      <c r="B33" s="192" t="s">
        <v>202</v>
      </c>
      <c r="C33" s="193">
        <v>54</v>
      </c>
      <c r="D33" s="193">
        <v>308</v>
      </c>
      <c r="E33" s="211">
        <f>SUM(D33)/D29*100</f>
        <v>2.3269870051375037</v>
      </c>
      <c r="F33" s="193">
        <v>281</v>
      </c>
      <c r="G33" s="211">
        <f>SUM(F33)/F29*100</f>
        <v>2.2512417881749718</v>
      </c>
    </row>
    <row r="34" spans="2:7" x14ac:dyDescent="0.25">
      <c r="B34" s="213" t="s">
        <v>172</v>
      </c>
      <c r="C34" s="214">
        <v>6</v>
      </c>
      <c r="D34" s="215">
        <f>SUM(D35:D37)</f>
        <v>1006</v>
      </c>
      <c r="E34" s="229">
        <f>SUM(D34)/D60*100</f>
        <v>1.678373012562772</v>
      </c>
      <c r="F34" s="215">
        <f>SUM(F35:F37)</f>
        <v>925</v>
      </c>
      <c r="G34" s="229">
        <f>SUM(F34)/F60*100</f>
        <v>1.6288078887128015</v>
      </c>
    </row>
    <row r="35" spans="2:7" x14ac:dyDescent="0.25">
      <c r="B35" s="192" t="s">
        <v>203</v>
      </c>
      <c r="C35" s="193">
        <v>61</v>
      </c>
      <c r="D35" s="132">
        <v>657</v>
      </c>
      <c r="E35" s="211">
        <f>SUM(D35)/D34*100</f>
        <v>65.308151093439363</v>
      </c>
      <c r="F35" s="132">
        <v>575</v>
      </c>
      <c r="G35" s="211">
        <f>SUM(F35)/F34*100</f>
        <v>62.162162162162161</v>
      </c>
    </row>
    <row r="36" spans="2:7" x14ac:dyDescent="0.25">
      <c r="B36" s="192" t="s">
        <v>204</v>
      </c>
      <c r="C36" s="193">
        <v>62</v>
      </c>
      <c r="D36" s="193">
        <v>223</v>
      </c>
      <c r="E36" s="211">
        <f>SUM(D36)/D34*100</f>
        <v>22.166998011928428</v>
      </c>
      <c r="F36" s="193">
        <v>220</v>
      </c>
      <c r="G36" s="211">
        <f>SUM(F36)/F34*100</f>
        <v>23.783783783783786</v>
      </c>
    </row>
    <row r="37" spans="2:7" x14ac:dyDescent="0.25">
      <c r="B37" s="192" t="s">
        <v>205</v>
      </c>
      <c r="C37" s="193">
        <v>63</v>
      </c>
      <c r="D37" s="193">
        <v>126</v>
      </c>
      <c r="E37" s="211">
        <f>SUM(D37)/D34*100</f>
        <v>12.524850894632205</v>
      </c>
      <c r="F37" s="193">
        <v>130</v>
      </c>
      <c r="G37" s="211">
        <f>SUM(F37)/F34*100</f>
        <v>14.054054054054054</v>
      </c>
    </row>
    <row r="38" spans="2:7" x14ac:dyDescent="0.25">
      <c r="B38" s="213" t="s">
        <v>173</v>
      </c>
      <c r="C38" s="214">
        <v>7</v>
      </c>
      <c r="D38" s="215">
        <f>SUM(D39:D43)</f>
        <v>15107</v>
      </c>
      <c r="E38" s="229">
        <f>SUM(D38)/D60*100</f>
        <v>25.203957356645923</v>
      </c>
      <c r="F38" s="215">
        <f>SUM(F39:F43)</f>
        <v>14560</v>
      </c>
      <c r="G38" s="229">
        <f>SUM(F38)/F60*100</f>
        <v>25.638316605036099</v>
      </c>
    </row>
    <row r="39" spans="2:7" x14ac:dyDescent="0.25">
      <c r="B39" s="192" t="s">
        <v>206</v>
      </c>
      <c r="C39" s="193">
        <v>71</v>
      </c>
      <c r="D39" s="132">
        <v>3917</v>
      </c>
      <c r="E39" s="211">
        <f>SUM(D39)/D38*100</f>
        <v>25.928377573310385</v>
      </c>
      <c r="F39" s="132">
        <v>3809</v>
      </c>
      <c r="G39" s="211">
        <f>SUM(F39)/F38*100</f>
        <v>26.160714285714288</v>
      </c>
    </row>
    <row r="40" spans="2:7" x14ac:dyDescent="0.25">
      <c r="B40" s="192" t="s">
        <v>207</v>
      </c>
      <c r="C40" s="193">
        <v>72</v>
      </c>
      <c r="D40" s="132">
        <v>5100</v>
      </c>
      <c r="E40" s="211">
        <f>SUM(D40)/D38*100</f>
        <v>33.759184484014035</v>
      </c>
      <c r="F40" s="132">
        <v>4965</v>
      </c>
      <c r="G40" s="211">
        <f>SUM(F40)/F38*100</f>
        <v>34.10027472527473</v>
      </c>
    </row>
    <row r="41" spans="2:7" x14ac:dyDescent="0.25">
      <c r="B41" s="192" t="s">
        <v>208</v>
      </c>
      <c r="C41" s="193">
        <v>73</v>
      </c>
      <c r="D41" s="132">
        <v>694</v>
      </c>
      <c r="E41" s="211">
        <f>SUM(D41)/D38*100</f>
        <v>4.5938968690011253</v>
      </c>
      <c r="F41" s="132">
        <v>625</v>
      </c>
      <c r="G41" s="211">
        <f>SUM(F41)/F38*100</f>
        <v>4.2925824175824179</v>
      </c>
    </row>
    <row r="42" spans="2:7" x14ac:dyDescent="0.25">
      <c r="B42" s="192" t="s">
        <v>209</v>
      </c>
      <c r="C42" s="193">
        <v>74</v>
      </c>
      <c r="D42" s="132">
        <v>1080</v>
      </c>
      <c r="E42" s="211">
        <f>SUM(D42)/D38*100</f>
        <v>7.1490037730853242</v>
      </c>
      <c r="F42" s="132">
        <v>1006</v>
      </c>
      <c r="G42" s="211">
        <f>SUM(F42)/F38*100</f>
        <v>6.9093406593406597</v>
      </c>
    </row>
    <row r="43" spans="2:7" ht="30" x14ac:dyDescent="0.25">
      <c r="B43" s="192" t="s">
        <v>210</v>
      </c>
      <c r="C43" s="193">
        <v>75</v>
      </c>
      <c r="D43" s="132">
        <v>4316</v>
      </c>
      <c r="E43" s="211">
        <f>SUM(D43)/D38*100</f>
        <v>28.569537300589133</v>
      </c>
      <c r="F43" s="132">
        <v>4155</v>
      </c>
      <c r="G43" s="211">
        <f>SUM(F43)/F38*100</f>
        <v>28.537087912087912</v>
      </c>
    </row>
    <row r="44" spans="2:7" x14ac:dyDescent="0.25">
      <c r="B44" s="213" t="s">
        <v>174</v>
      </c>
      <c r="C44" s="214">
        <v>8</v>
      </c>
      <c r="D44" s="215">
        <f>SUM(D45:D47)</f>
        <v>3758</v>
      </c>
      <c r="E44" s="229">
        <f>SUM(D44)/D60*100</f>
        <v>6.2697075359949288</v>
      </c>
      <c r="F44" s="215">
        <f>SUM(F45:F47)</f>
        <v>3434</v>
      </c>
      <c r="G44" s="229">
        <f>SUM(F44)/F60*100</f>
        <v>6.0468392322592006</v>
      </c>
    </row>
    <row r="45" spans="2:7" x14ac:dyDescent="0.25">
      <c r="B45" s="192" t="s">
        <v>211</v>
      </c>
      <c r="C45" s="193">
        <v>81</v>
      </c>
      <c r="D45" s="132">
        <v>1892</v>
      </c>
      <c r="E45" s="211">
        <f>SUM(D45)/D44*100</f>
        <v>50.345928685470994</v>
      </c>
      <c r="F45" s="132">
        <v>1732</v>
      </c>
      <c r="G45" s="211">
        <f>SUM(F45)/F44*100</f>
        <v>50.436808386721019</v>
      </c>
    </row>
    <row r="46" spans="2:7" x14ac:dyDescent="0.25">
      <c r="B46" s="192" t="s">
        <v>212</v>
      </c>
      <c r="C46" s="193">
        <v>82</v>
      </c>
      <c r="D46" s="193">
        <v>386</v>
      </c>
      <c r="E46" s="211">
        <f>SUM(D46)/D44*100</f>
        <v>10.271420968600321</v>
      </c>
      <c r="F46" s="193">
        <v>372</v>
      </c>
      <c r="G46" s="211">
        <f>SUM(F46)/F44*100</f>
        <v>10.832847990681421</v>
      </c>
    </row>
    <row r="47" spans="2:7" x14ac:dyDescent="0.25">
      <c r="B47" s="192" t="s">
        <v>213</v>
      </c>
      <c r="C47" s="193">
        <v>83</v>
      </c>
      <c r="D47" s="132">
        <v>1480</v>
      </c>
      <c r="E47" s="211">
        <f>SUM(D47)/D44*100</f>
        <v>39.382650345928688</v>
      </c>
      <c r="F47" s="132">
        <v>1330</v>
      </c>
      <c r="G47" s="211">
        <f>SUM(F47)/F44*100</f>
        <v>38.730343622597552</v>
      </c>
    </row>
    <row r="48" spans="2:7" x14ac:dyDescent="0.25">
      <c r="B48" s="213" t="s">
        <v>175</v>
      </c>
      <c r="C48" s="214">
        <v>9</v>
      </c>
      <c r="D48" s="215">
        <f>SUM(D49:D54)</f>
        <v>5460</v>
      </c>
      <c r="E48" s="229">
        <f>SUM(D48)/D60*100</f>
        <v>9.1092610821001347</v>
      </c>
      <c r="F48" s="215">
        <f>SUM(F49:F54)</f>
        <v>5211</v>
      </c>
      <c r="G48" s="229">
        <f>SUM(F48)/F60*100</f>
        <v>9.1759112519809829</v>
      </c>
    </row>
    <row r="49" spans="2:7" x14ac:dyDescent="0.25">
      <c r="B49" s="192" t="s">
        <v>214</v>
      </c>
      <c r="C49" s="193">
        <v>91</v>
      </c>
      <c r="D49" s="132">
        <v>1024</v>
      </c>
      <c r="E49" s="211">
        <f>SUM(D49)/D48*100</f>
        <v>18.754578754578755</v>
      </c>
      <c r="F49" s="132">
        <v>923</v>
      </c>
      <c r="G49" s="211">
        <f>SUM(F49)/F48*100</f>
        <v>17.712531184033775</v>
      </c>
    </row>
    <row r="50" spans="2:7" ht="30" x14ac:dyDescent="0.25">
      <c r="B50" s="192" t="s">
        <v>215</v>
      </c>
      <c r="C50" s="193">
        <v>92</v>
      </c>
      <c r="D50" s="193">
        <v>287</v>
      </c>
      <c r="E50" s="211">
        <f>SUM(D50)/D48*100</f>
        <v>5.2564102564102564</v>
      </c>
      <c r="F50" s="193">
        <v>283</v>
      </c>
      <c r="G50" s="211">
        <f>SUM(F50)/F48*100</f>
        <v>5.4308194204567259</v>
      </c>
    </row>
    <row r="51" spans="2:7" ht="30" x14ac:dyDescent="0.25">
      <c r="B51" s="192" t="s">
        <v>216</v>
      </c>
      <c r="C51" s="193">
        <v>93</v>
      </c>
      <c r="D51" s="132">
        <v>2995</v>
      </c>
      <c r="E51" s="211">
        <f>SUM(D51)/D48*100</f>
        <v>54.853479853479861</v>
      </c>
      <c r="F51" s="132">
        <v>2865</v>
      </c>
      <c r="G51" s="211">
        <f>SUM(F51)/F48*100</f>
        <v>54.979850316637879</v>
      </c>
    </row>
    <row r="52" spans="2:7" ht="30" x14ac:dyDescent="0.25">
      <c r="B52" s="192" t="s">
        <v>217</v>
      </c>
      <c r="C52" s="193">
        <v>94</v>
      </c>
      <c r="D52" s="193">
        <v>385</v>
      </c>
      <c r="E52" s="211">
        <f>SUM(D52)/D48*100</f>
        <v>7.0512820512820511</v>
      </c>
      <c r="F52" s="193">
        <v>400</v>
      </c>
      <c r="G52" s="211">
        <f>SUM(F52)/F48*100</f>
        <v>7.6760698522356545</v>
      </c>
    </row>
    <row r="53" spans="2:7" x14ac:dyDescent="0.25">
      <c r="B53" s="192" t="s">
        <v>218</v>
      </c>
      <c r="C53" s="193">
        <v>95</v>
      </c>
      <c r="D53" s="193">
        <v>11</v>
      </c>
      <c r="E53" s="211">
        <f>SUM(D53)/D48*100</f>
        <v>0.2014652014652015</v>
      </c>
      <c r="F53" s="193">
        <v>8</v>
      </c>
      <c r="G53" s="211">
        <f>SUM(F53)/F48*100</f>
        <v>0.1535213970447131</v>
      </c>
    </row>
    <row r="54" spans="2:7" x14ac:dyDescent="0.25">
      <c r="B54" s="192" t="s">
        <v>219</v>
      </c>
      <c r="C54" s="193">
        <v>96</v>
      </c>
      <c r="D54" s="132">
        <v>758</v>
      </c>
      <c r="E54" s="211">
        <f>SUM(D54)/D48*100</f>
        <v>13.882783882783883</v>
      </c>
      <c r="F54" s="132">
        <v>732</v>
      </c>
      <c r="G54" s="211">
        <f>SUM(F54)/F48*100</f>
        <v>14.047207829591249</v>
      </c>
    </row>
    <row r="55" spans="2:7" x14ac:dyDescent="0.25">
      <c r="B55" s="213" t="s">
        <v>182</v>
      </c>
      <c r="C55" s="214">
        <v>0</v>
      </c>
      <c r="D55" s="214">
        <f>SUM(D56:D58)</f>
        <v>26</v>
      </c>
      <c r="E55" s="319">
        <f>SUM(D55)/D60*100</f>
        <v>4.337743372428636E-2</v>
      </c>
      <c r="F55" s="214">
        <f>SUM(F56:F58)</f>
        <v>30</v>
      </c>
      <c r="G55" s="319">
        <f>SUM(F55)/F60*100</f>
        <v>5.2826201796090863E-2</v>
      </c>
    </row>
    <row r="56" spans="2:7" x14ac:dyDescent="0.25">
      <c r="B56" s="192" t="s">
        <v>220</v>
      </c>
      <c r="C56" s="193">
        <v>1</v>
      </c>
      <c r="D56" s="193">
        <v>0</v>
      </c>
      <c r="E56" s="211">
        <f>SUM(D56)/D55*100</f>
        <v>0</v>
      </c>
      <c r="F56" s="193">
        <v>0</v>
      </c>
      <c r="G56" s="211">
        <f>SUM(F56)/F55*100</f>
        <v>0</v>
      </c>
    </row>
    <row r="57" spans="2:7" x14ac:dyDescent="0.25">
      <c r="B57" s="192" t="s">
        <v>221</v>
      </c>
      <c r="C57" s="193">
        <v>2</v>
      </c>
      <c r="D57" s="193">
        <v>1</v>
      </c>
      <c r="E57" s="211">
        <f>SUM(D57)/D55*100</f>
        <v>3.8461538461538463</v>
      </c>
      <c r="F57" s="193">
        <v>1</v>
      </c>
      <c r="G57" s="211">
        <f>SUM(F57)/F55*100</f>
        <v>3.3333333333333335</v>
      </c>
    </row>
    <row r="58" spans="2:7" ht="15.75" thickBot="1" x14ac:dyDescent="0.3">
      <c r="B58" s="194" t="s">
        <v>222</v>
      </c>
      <c r="C58" s="189">
        <v>3</v>
      </c>
      <c r="D58" s="189">
        <v>25</v>
      </c>
      <c r="E58" s="230">
        <f>SUM(D58)/D55*100</f>
        <v>96.15384615384616</v>
      </c>
      <c r="F58" s="189">
        <v>29</v>
      </c>
      <c r="G58" s="230">
        <f>SUM(F58)/F55*100</f>
        <v>96.666666666666671</v>
      </c>
    </row>
    <row r="59" spans="2:7" x14ac:dyDescent="0.25">
      <c r="B59" s="216" t="s">
        <v>225</v>
      </c>
      <c r="C59" s="217" t="s">
        <v>161</v>
      </c>
      <c r="D59" s="218">
        <v>9077</v>
      </c>
      <c r="E59" s="228">
        <f>SUM(D59)/D61*100</f>
        <v>13.152022719369421</v>
      </c>
      <c r="F59" s="218">
        <v>8274</v>
      </c>
      <c r="G59" s="228">
        <f>SUM(F59)/F61*100</f>
        <v>12.716709701217264</v>
      </c>
    </row>
    <row r="60" spans="2:7" ht="15.75" thickBot="1" x14ac:dyDescent="0.3">
      <c r="B60" s="219" t="s">
        <v>183</v>
      </c>
      <c r="C60" s="220" t="s">
        <v>162</v>
      </c>
      <c r="D60" s="221">
        <f>SUM(D6,D11,D18,D24,D29,D34,D38,D44,D48,D55)</f>
        <v>59939</v>
      </c>
      <c r="E60" s="231">
        <f>SUM(E6,E11,E18,E24,E29,E34,E38,E44,E48,E55)</f>
        <v>100</v>
      </c>
      <c r="F60" s="221">
        <f>SUM(F6,F11,F18,F24,F29,F34,F38,F44,F48,F55)</f>
        <v>56790</v>
      </c>
      <c r="G60" s="231">
        <f>SUM(G6,G11,G18,G24,G29,G34,G38,G44,G48,G55)</f>
        <v>100</v>
      </c>
    </row>
    <row r="61" spans="2:7" ht="19.5" thickBot="1" x14ac:dyDescent="0.3">
      <c r="B61" s="222" t="s">
        <v>50</v>
      </c>
      <c r="C61" s="223" t="s">
        <v>163</v>
      </c>
      <c r="D61" s="224">
        <f>SUM(D59:D60)</f>
        <v>69016</v>
      </c>
      <c r="E61" s="225" t="s">
        <v>93</v>
      </c>
      <c r="F61" s="224">
        <f>SUM(F59:F60)</f>
        <v>65064</v>
      </c>
      <c r="G61" s="225" t="s">
        <v>93</v>
      </c>
    </row>
    <row r="62" spans="2:7" x14ac:dyDescent="0.25">
      <c r="B62" s="197" t="s">
        <v>428</v>
      </c>
      <c r="C62" s="197"/>
      <c r="D62" s="197"/>
      <c r="E62" s="197"/>
    </row>
    <row r="63" spans="2:7" ht="14.25" customHeight="1" x14ac:dyDescent="0.25">
      <c r="B63" s="11" t="s">
        <v>429</v>
      </c>
    </row>
    <row r="64" spans="2:7" ht="13.5" customHeight="1" x14ac:dyDescent="0.25">
      <c r="B64" s="11" t="s">
        <v>430</v>
      </c>
    </row>
    <row r="65" spans="4:7" x14ac:dyDescent="0.25">
      <c r="D65" s="366">
        <f>SUM(D6,D11,D18,D24,D29,D34,D38,D44,D48,D55,D59)</f>
        <v>69016</v>
      </c>
      <c r="F65" s="366">
        <f>SUM(F6,F11,F18,F24,F29,F34,F38,F44,F48,F55,F59)</f>
        <v>65064</v>
      </c>
    </row>
    <row r="66" spans="4:7" x14ac:dyDescent="0.25">
      <c r="E66" s="366"/>
      <c r="G66" s="366"/>
    </row>
  </sheetData>
  <printOptions horizontalCentered="1" verticalCentered="1"/>
  <pageMargins left="1.0236220472440944" right="0.31496062992125984" top="0.31496062992125984" bottom="0" header="0" footer="0"/>
  <pageSetup paperSize="9" scale="7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0.59999389629810485"/>
  </sheetPr>
  <dimension ref="B2:AA46"/>
  <sheetViews>
    <sheetView zoomScale="80" zoomScaleNormal="80" workbookViewId="0">
      <selection activeCell="B1" sqref="B1"/>
    </sheetView>
  </sheetViews>
  <sheetFormatPr defaultColWidth="9.140625" defaultRowHeight="15" x14ac:dyDescent="0.25"/>
  <cols>
    <col min="1" max="1" width="3.85546875" style="11" customWidth="1"/>
    <col min="2" max="2" width="26" style="11" customWidth="1"/>
    <col min="3" max="3" width="16.140625" style="11" customWidth="1"/>
    <col min="4" max="4" width="16" style="11" customWidth="1"/>
    <col min="5" max="5" width="16.28515625" style="11" customWidth="1"/>
    <col min="6" max="6" width="3.85546875" style="11" customWidth="1"/>
    <col min="7" max="7" width="11.42578125" style="11" bestFit="1" customWidth="1"/>
    <col min="8" max="8" width="9.5703125" style="11" customWidth="1"/>
    <col min="9" max="9" width="11.140625" style="11" customWidth="1"/>
    <col min="10" max="10" width="4.42578125" style="11" customWidth="1"/>
    <col min="11" max="11" width="9.85546875" style="11" customWidth="1"/>
    <col min="12" max="12" width="9.140625" style="11"/>
    <col min="13" max="13" width="10.5703125" style="11" customWidth="1"/>
    <col min="14" max="14" width="11.28515625" style="11" customWidth="1"/>
    <col min="15" max="15" width="11.85546875" style="11" customWidth="1"/>
    <col min="16" max="16" width="10.42578125" style="11" customWidth="1"/>
    <col min="17" max="16384" width="9.140625" style="11"/>
  </cols>
  <sheetData>
    <row r="2" spans="2:16" x14ac:dyDescent="0.25">
      <c r="B2" s="11" t="s">
        <v>379</v>
      </c>
    </row>
    <row r="3" spans="2:16" x14ac:dyDescent="0.25">
      <c r="B3" s="11" t="s">
        <v>334</v>
      </c>
    </row>
    <row r="4" spans="2:16" x14ac:dyDescent="0.25">
      <c r="B4" s="11" t="s">
        <v>333</v>
      </c>
    </row>
    <row r="5" spans="2:16" ht="11.25" customHeight="1" thickBot="1" x14ac:dyDescent="0.3"/>
    <row r="6" spans="2:16" ht="22.5" customHeight="1" thickBot="1" x14ac:dyDescent="0.3">
      <c r="B6" s="706"/>
      <c r="C6" s="773"/>
      <c r="D6" s="774" t="s">
        <v>522</v>
      </c>
      <c r="E6" s="775"/>
    </row>
    <row r="7" spans="2:16" ht="21.75" customHeight="1" thickBot="1" x14ac:dyDescent="0.3">
      <c r="B7" s="776" t="s">
        <v>13</v>
      </c>
      <c r="C7" s="777"/>
      <c r="D7" s="896" t="s">
        <v>49</v>
      </c>
      <c r="E7" s="898"/>
    </row>
    <row r="8" spans="2:16" ht="34.5" customHeight="1" thickBot="1" x14ac:dyDescent="0.3">
      <c r="B8" s="778"/>
      <c r="C8" s="779" t="s">
        <v>46</v>
      </c>
      <c r="D8" s="545" t="s">
        <v>47</v>
      </c>
      <c r="E8" s="546" t="s">
        <v>48</v>
      </c>
    </row>
    <row r="9" spans="2:16" ht="23.25" customHeight="1" thickBot="1" x14ac:dyDescent="0.3">
      <c r="B9" s="120" t="s">
        <v>14</v>
      </c>
      <c r="C9" s="139">
        <f>SUM(C10:C34)</f>
        <v>23753</v>
      </c>
      <c r="D9" s="121">
        <f>SUM(D10:D34)</f>
        <v>10020</v>
      </c>
      <c r="E9" s="140">
        <f>SUM(E10:E34)</f>
        <v>4143</v>
      </c>
      <c r="F9" s="299"/>
    </row>
    <row r="10" spans="2:16" ht="14.25" customHeight="1" x14ac:dyDescent="0.25">
      <c r="B10" s="54" t="s">
        <v>15</v>
      </c>
      <c r="C10" s="35">
        <v>300</v>
      </c>
      <c r="D10" s="31">
        <v>249</v>
      </c>
      <c r="E10" s="141">
        <v>85</v>
      </c>
      <c r="G10" s="645" t="s">
        <v>320</v>
      </c>
      <c r="H10" s="645" t="s">
        <v>321</v>
      </c>
      <c r="I10" s="645" t="s">
        <v>322</v>
      </c>
      <c r="J10" s="371"/>
      <c r="K10" s="645" t="s">
        <v>319</v>
      </c>
      <c r="L10" s="645" t="s">
        <v>355</v>
      </c>
      <c r="M10" s="645" t="s">
        <v>299</v>
      </c>
      <c r="N10" s="645" t="s">
        <v>354</v>
      </c>
      <c r="O10" s="645" t="s">
        <v>300</v>
      </c>
    </row>
    <row r="11" spans="2:16" x14ac:dyDescent="0.25">
      <c r="B11" s="12" t="s">
        <v>16</v>
      </c>
      <c r="C11" s="33">
        <v>421</v>
      </c>
      <c r="D11" s="13">
        <v>384</v>
      </c>
      <c r="E11" s="15">
        <v>101</v>
      </c>
      <c r="G11" s="96">
        <v>1998</v>
      </c>
      <c r="H11" s="372" t="s">
        <v>93</v>
      </c>
      <c r="I11" s="372" t="s">
        <v>93</v>
      </c>
      <c r="J11" s="22"/>
      <c r="K11" s="14" t="s">
        <v>525</v>
      </c>
      <c r="L11" s="372" t="s">
        <v>93</v>
      </c>
      <c r="M11" s="372" t="s">
        <v>93</v>
      </c>
      <c r="N11" s="372" t="s">
        <v>93</v>
      </c>
      <c r="O11" s="372" t="s">
        <v>93</v>
      </c>
      <c r="P11" s="383" t="s">
        <v>93</v>
      </c>
    </row>
    <row r="12" spans="2:16" ht="14.25" customHeight="1" x14ac:dyDescent="0.25">
      <c r="B12" s="12" t="s">
        <v>17</v>
      </c>
      <c r="C12" s="33">
        <v>1536</v>
      </c>
      <c r="D12" s="13">
        <v>348</v>
      </c>
      <c r="E12" s="15">
        <v>118</v>
      </c>
      <c r="G12" s="96">
        <v>1999</v>
      </c>
      <c r="H12" s="14">
        <v>38322</v>
      </c>
      <c r="I12" s="575">
        <v>14842</v>
      </c>
      <c r="J12" s="22"/>
      <c r="K12" s="14" t="s">
        <v>526</v>
      </c>
      <c r="L12" s="14">
        <v>19411</v>
      </c>
      <c r="M12" s="372" t="s">
        <v>350</v>
      </c>
      <c r="N12" s="575"/>
      <c r="O12" s="14">
        <f t="shared" ref="O12:O31" si="0">SUM(I12-N12)</f>
        <v>14842</v>
      </c>
      <c r="P12" s="299">
        <f>SUM(N12/L12*100)</f>
        <v>0</v>
      </c>
    </row>
    <row r="13" spans="2:16" ht="18" customHeight="1" x14ac:dyDescent="0.25">
      <c r="B13" s="12" t="s">
        <v>18</v>
      </c>
      <c r="C13" s="33">
        <v>1497</v>
      </c>
      <c r="D13" s="13">
        <v>732</v>
      </c>
      <c r="E13" s="15">
        <v>240</v>
      </c>
      <c r="G13" s="96">
        <v>2000</v>
      </c>
      <c r="H13" s="14">
        <v>31625</v>
      </c>
      <c r="I13" s="14">
        <v>14996</v>
      </c>
      <c r="J13" s="22"/>
      <c r="K13" s="14" t="s">
        <v>527</v>
      </c>
      <c r="L13" s="14">
        <v>16479</v>
      </c>
      <c r="M13" s="365">
        <f>SUM(L13-L12)/L12*100</f>
        <v>-15.104837463294007</v>
      </c>
      <c r="N13" s="575"/>
      <c r="O13" s="14">
        <f t="shared" si="0"/>
        <v>14996</v>
      </c>
      <c r="P13" s="299">
        <f t="shared" ref="P13:P29" si="1">SUM(N13/L13*100)</f>
        <v>0</v>
      </c>
    </row>
    <row r="14" spans="2:16" x14ac:dyDescent="0.25">
      <c r="B14" s="12" t="s">
        <v>19</v>
      </c>
      <c r="C14" s="33">
        <v>1301</v>
      </c>
      <c r="D14" s="13">
        <v>605</v>
      </c>
      <c r="E14" s="15">
        <v>192</v>
      </c>
      <c r="G14" s="96">
        <v>2001</v>
      </c>
      <c r="H14" s="14">
        <v>25129</v>
      </c>
      <c r="I14" s="14">
        <v>8521</v>
      </c>
      <c r="J14" s="382" t="s">
        <v>349</v>
      </c>
      <c r="K14" s="14" t="s">
        <v>528</v>
      </c>
      <c r="L14" s="380">
        <v>12461</v>
      </c>
      <c r="M14" s="365">
        <f>SUM(L14-L12)/L12*100</f>
        <v>-35.804440781000466</v>
      </c>
      <c r="N14" s="14">
        <v>4362</v>
      </c>
      <c r="O14" s="14">
        <f t="shared" si="0"/>
        <v>4159</v>
      </c>
      <c r="P14" s="299">
        <f t="shared" si="1"/>
        <v>35.005216274777304</v>
      </c>
    </row>
    <row r="15" spans="2:16" x14ac:dyDescent="0.25">
      <c r="B15" s="12" t="s">
        <v>20</v>
      </c>
      <c r="C15" s="33">
        <v>608</v>
      </c>
      <c r="D15" s="13">
        <v>274</v>
      </c>
      <c r="E15" s="15">
        <v>79</v>
      </c>
      <c r="G15" s="96">
        <v>2002</v>
      </c>
      <c r="H15" s="14">
        <v>28470</v>
      </c>
      <c r="I15" s="14">
        <v>12944</v>
      </c>
      <c r="J15" s="22"/>
      <c r="K15" s="14" t="s">
        <v>529</v>
      </c>
      <c r="L15" s="14">
        <v>12658</v>
      </c>
      <c r="M15" s="365">
        <f>SUM(L15-L12)/L12*100</f>
        <v>-34.789552315697286</v>
      </c>
      <c r="N15" s="14">
        <v>4639</v>
      </c>
      <c r="O15" s="14">
        <f t="shared" si="0"/>
        <v>8305</v>
      </c>
      <c r="P15" s="299">
        <f t="shared" si="1"/>
        <v>36.6487596776742</v>
      </c>
    </row>
    <row r="16" spans="2:16" ht="15.75" customHeight="1" x14ac:dyDescent="0.25">
      <c r="B16" s="12" t="s">
        <v>21</v>
      </c>
      <c r="C16" s="33">
        <v>455</v>
      </c>
      <c r="D16" s="13">
        <v>157</v>
      </c>
      <c r="E16" s="15">
        <v>73</v>
      </c>
      <c r="G16" s="96">
        <v>2003</v>
      </c>
      <c r="H16" s="14">
        <v>39334</v>
      </c>
      <c r="I16" s="14">
        <v>22556</v>
      </c>
      <c r="J16" s="22"/>
      <c r="K16" s="14" t="s">
        <v>530</v>
      </c>
      <c r="L16" s="14">
        <v>19490</v>
      </c>
      <c r="M16" s="365">
        <f>SUM(L16-L12)/L12*100</f>
        <v>0.40698572974086861</v>
      </c>
      <c r="N16" s="14">
        <v>11201</v>
      </c>
      <c r="O16" s="14">
        <f t="shared" si="0"/>
        <v>11355</v>
      </c>
      <c r="P16" s="299">
        <f t="shared" si="1"/>
        <v>57.470497691123654</v>
      </c>
    </row>
    <row r="17" spans="2:16" x14ac:dyDescent="0.25">
      <c r="B17" s="12" t="s">
        <v>22</v>
      </c>
      <c r="C17" s="33">
        <v>324</v>
      </c>
      <c r="D17" s="13">
        <v>185</v>
      </c>
      <c r="E17" s="15">
        <v>69</v>
      </c>
      <c r="G17" s="96">
        <v>2004</v>
      </c>
      <c r="H17" s="14">
        <v>40346</v>
      </c>
      <c r="I17" s="14">
        <v>20038</v>
      </c>
      <c r="J17" s="22"/>
      <c r="K17" s="14" t="s">
        <v>531</v>
      </c>
      <c r="L17" s="14">
        <v>21329</v>
      </c>
      <c r="M17" s="365">
        <f>SUM(L17-L12)/L12*100</f>
        <v>9.8809953119365321</v>
      </c>
      <c r="N17" s="575"/>
      <c r="O17" s="14">
        <f t="shared" si="0"/>
        <v>20038</v>
      </c>
      <c r="P17" s="299">
        <f t="shared" si="1"/>
        <v>0</v>
      </c>
    </row>
    <row r="18" spans="2:16" x14ac:dyDescent="0.25">
      <c r="B18" s="12" t="s">
        <v>23</v>
      </c>
      <c r="C18" s="33">
        <v>846</v>
      </c>
      <c r="D18" s="13">
        <v>547</v>
      </c>
      <c r="E18" s="15">
        <v>185</v>
      </c>
      <c r="G18" s="96">
        <v>2005</v>
      </c>
      <c r="H18" s="14">
        <v>41016</v>
      </c>
      <c r="I18" s="14">
        <v>18757</v>
      </c>
      <c r="J18" s="22"/>
      <c r="K18" s="14" t="s">
        <v>532</v>
      </c>
      <c r="L18" s="14">
        <v>21427</v>
      </c>
      <c r="M18" s="365">
        <f>SUM(L18-L12)/L12*100</f>
        <v>10.385863685539128</v>
      </c>
      <c r="N18" s="14">
        <v>10813</v>
      </c>
      <c r="O18" s="14">
        <f>SUM(I18-N18)</f>
        <v>7944</v>
      </c>
      <c r="P18" s="299">
        <f t="shared" si="1"/>
        <v>50.46436738694171</v>
      </c>
    </row>
    <row r="19" spans="2:16" x14ac:dyDescent="0.25">
      <c r="B19" s="12" t="s">
        <v>24</v>
      </c>
      <c r="C19" s="33">
        <v>541</v>
      </c>
      <c r="D19" s="13">
        <v>396</v>
      </c>
      <c r="E19" s="15">
        <v>180</v>
      </c>
      <c r="G19" s="96">
        <v>2006</v>
      </c>
      <c r="H19" s="14">
        <v>48932</v>
      </c>
      <c r="I19" s="14">
        <v>20054</v>
      </c>
      <c r="J19" s="22"/>
      <c r="K19" s="14" t="s">
        <v>533</v>
      </c>
      <c r="L19" s="14">
        <v>25517</v>
      </c>
      <c r="M19" s="365">
        <f>SUM(L19-L12)/L12*100</f>
        <v>31.456390706300553</v>
      </c>
      <c r="N19" s="14">
        <v>9779</v>
      </c>
      <c r="O19" s="14">
        <f t="shared" si="0"/>
        <v>10275</v>
      </c>
      <c r="P19" s="299">
        <f t="shared" si="1"/>
        <v>38.323470627424854</v>
      </c>
    </row>
    <row r="20" spans="2:16" x14ac:dyDescent="0.25">
      <c r="B20" s="12" t="s">
        <v>25</v>
      </c>
      <c r="C20" s="33">
        <v>643</v>
      </c>
      <c r="D20" s="13">
        <v>427</v>
      </c>
      <c r="E20" s="15">
        <v>186</v>
      </c>
      <c r="G20" s="96">
        <v>2007</v>
      </c>
      <c r="H20" s="14">
        <v>49327</v>
      </c>
      <c r="I20" s="14">
        <v>24494</v>
      </c>
      <c r="J20" s="22"/>
      <c r="K20" s="14" t="s">
        <v>534</v>
      </c>
      <c r="L20" s="14">
        <v>27392</v>
      </c>
      <c r="M20" s="365">
        <f>SUM(L20-L12)/L12*100</f>
        <v>41.115862140023694</v>
      </c>
      <c r="N20" s="14">
        <v>14414</v>
      </c>
      <c r="O20" s="14">
        <f t="shared" si="0"/>
        <v>10080</v>
      </c>
      <c r="P20" s="299">
        <f t="shared" si="1"/>
        <v>52.621203271028037</v>
      </c>
    </row>
    <row r="21" spans="2:16" x14ac:dyDescent="0.25">
      <c r="B21" s="12" t="s">
        <v>26</v>
      </c>
      <c r="C21" s="33">
        <v>1749</v>
      </c>
      <c r="D21" s="13">
        <v>595</v>
      </c>
      <c r="E21" s="15">
        <v>142</v>
      </c>
      <c r="G21" s="96">
        <v>2008</v>
      </c>
      <c r="H21" s="14">
        <v>51046</v>
      </c>
      <c r="I21" s="14">
        <v>28458</v>
      </c>
      <c r="J21" s="22"/>
      <c r="K21" s="14" t="s">
        <v>535</v>
      </c>
      <c r="L21" s="14">
        <v>28169</v>
      </c>
      <c r="M21" s="365">
        <f>SUM(L21-L12)/L12*100</f>
        <v>45.118747102158565</v>
      </c>
      <c r="N21" s="14">
        <v>15639</v>
      </c>
      <c r="O21" s="14">
        <f t="shared" si="0"/>
        <v>12819</v>
      </c>
      <c r="P21" s="299">
        <f t="shared" si="1"/>
        <v>55.518477759238884</v>
      </c>
    </row>
    <row r="22" spans="2:16" x14ac:dyDescent="0.25">
      <c r="B22" s="12" t="s">
        <v>27</v>
      </c>
      <c r="C22" s="33">
        <v>707</v>
      </c>
      <c r="D22" s="13">
        <v>540</v>
      </c>
      <c r="E22" s="15">
        <v>211</v>
      </c>
      <c r="G22" s="96">
        <v>2009</v>
      </c>
      <c r="H22" s="14">
        <v>47263</v>
      </c>
      <c r="I22" s="14">
        <v>28957</v>
      </c>
      <c r="J22" s="22"/>
      <c r="K22" s="14" t="s">
        <v>536</v>
      </c>
      <c r="L22" s="380">
        <v>25139</v>
      </c>
      <c r="M22" s="365">
        <f>SUM(L22-L12)/L12*100</f>
        <v>29.509041265261963</v>
      </c>
      <c r="N22" s="14">
        <v>16435</v>
      </c>
      <c r="O22" s="14">
        <f t="shared" si="0"/>
        <v>12522</v>
      </c>
      <c r="P22" s="299">
        <f t="shared" si="1"/>
        <v>65.376506623175146</v>
      </c>
    </row>
    <row r="23" spans="2:16" x14ac:dyDescent="0.25">
      <c r="B23" s="17" t="s">
        <v>28</v>
      </c>
      <c r="C23" s="209">
        <v>280</v>
      </c>
      <c r="D23" s="107">
        <v>240</v>
      </c>
      <c r="E23" s="15">
        <v>145</v>
      </c>
      <c r="G23" s="96">
        <v>2010</v>
      </c>
      <c r="H23" s="14">
        <v>57481</v>
      </c>
      <c r="I23" s="14">
        <v>35663</v>
      </c>
      <c r="J23" s="22"/>
      <c r="K23" s="14" t="s">
        <v>537</v>
      </c>
      <c r="L23" s="14">
        <v>30966</v>
      </c>
      <c r="M23" s="365">
        <f>SUM(L23-L12)/L12*100</f>
        <v>59.528102622224509</v>
      </c>
      <c r="N23" s="14">
        <v>21368</v>
      </c>
      <c r="O23" s="14">
        <f t="shared" si="0"/>
        <v>14295</v>
      </c>
      <c r="P23" s="299">
        <f t="shared" si="1"/>
        <v>69.004714848543571</v>
      </c>
    </row>
    <row r="24" spans="2:16" x14ac:dyDescent="0.25">
      <c r="B24" s="17" t="s">
        <v>29</v>
      </c>
      <c r="C24" s="209">
        <v>1754</v>
      </c>
      <c r="D24" s="107">
        <v>832</v>
      </c>
      <c r="E24" s="15">
        <v>422</v>
      </c>
      <c r="G24" s="96">
        <v>2011</v>
      </c>
      <c r="H24" s="14">
        <v>42554</v>
      </c>
      <c r="I24" s="14">
        <v>16768</v>
      </c>
      <c r="J24" s="22"/>
      <c r="K24" s="14" t="s">
        <v>538</v>
      </c>
      <c r="L24" s="14">
        <v>24104</v>
      </c>
      <c r="M24" s="365">
        <f>SUM(L24-L12)/L12*100</f>
        <v>24.177013033846791</v>
      </c>
      <c r="N24" s="14">
        <v>10464</v>
      </c>
      <c r="O24" s="14">
        <f t="shared" si="0"/>
        <v>6304</v>
      </c>
      <c r="P24" s="299">
        <f t="shared" si="1"/>
        <v>43.411881845336872</v>
      </c>
    </row>
    <row r="25" spans="2:16" x14ac:dyDescent="0.25">
      <c r="B25" s="17" t="s">
        <v>30</v>
      </c>
      <c r="C25" s="209">
        <v>762</v>
      </c>
      <c r="D25" s="107">
        <v>415</v>
      </c>
      <c r="E25" s="15">
        <v>189</v>
      </c>
      <c r="G25" s="96">
        <v>2012</v>
      </c>
      <c r="H25" s="14">
        <v>48689</v>
      </c>
      <c r="I25" s="14">
        <v>25146</v>
      </c>
      <c r="J25" s="22"/>
      <c r="K25" s="14" t="s">
        <v>539</v>
      </c>
      <c r="L25" s="380">
        <v>24066</v>
      </c>
      <c r="M25" s="365">
        <f>SUM(L25-L12)/L12*100</f>
        <v>23.981247746123334</v>
      </c>
      <c r="N25" s="14">
        <v>12684</v>
      </c>
      <c r="O25" s="14">
        <f t="shared" si="0"/>
        <v>12462</v>
      </c>
      <c r="P25" s="299">
        <f t="shared" si="1"/>
        <v>52.705061082024429</v>
      </c>
    </row>
    <row r="26" spans="2:16" x14ac:dyDescent="0.25">
      <c r="B26" s="17" t="s">
        <v>31</v>
      </c>
      <c r="C26" s="209">
        <v>1042</v>
      </c>
      <c r="D26" s="107">
        <v>290</v>
      </c>
      <c r="E26" s="15">
        <v>141</v>
      </c>
      <c r="G26" s="96">
        <v>2013</v>
      </c>
      <c r="H26" s="14">
        <v>54304</v>
      </c>
      <c r="I26" s="14">
        <v>26050</v>
      </c>
      <c r="J26" s="22"/>
      <c r="K26" s="14" t="s">
        <v>540</v>
      </c>
      <c r="L26" s="14">
        <v>31113</v>
      </c>
      <c r="M26" s="332">
        <f>SUM(L26-L12)/L12*100</f>
        <v>60.285405182628402</v>
      </c>
      <c r="N26" s="14">
        <v>17521</v>
      </c>
      <c r="O26" s="14">
        <f t="shared" si="0"/>
        <v>8529</v>
      </c>
      <c r="P26" s="299">
        <f t="shared" si="1"/>
        <v>56.314080930800628</v>
      </c>
    </row>
    <row r="27" spans="2:16" x14ac:dyDescent="0.25">
      <c r="B27" s="17" t="s">
        <v>32</v>
      </c>
      <c r="C27" s="209">
        <v>716</v>
      </c>
      <c r="D27" s="107">
        <v>283</v>
      </c>
      <c r="E27" s="15">
        <v>95</v>
      </c>
      <c r="G27" s="96">
        <v>2014</v>
      </c>
      <c r="H27" s="14">
        <v>60555</v>
      </c>
      <c r="I27" s="14">
        <v>27292</v>
      </c>
      <c r="J27" s="22"/>
      <c r="K27" s="14" t="s">
        <v>541</v>
      </c>
      <c r="L27" s="14">
        <v>31924</v>
      </c>
      <c r="M27" s="332">
        <f>SUM(L27-L12)/L12*100</f>
        <v>64.46344856009479</v>
      </c>
      <c r="N27" s="14">
        <v>16121</v>
      </c>
      <c r="O27" s="14">
        <f t="shared" si="0"/>
        <v>11171</v>
      </c>
      <c r="P27" s="299">
        <f t="shared" si="1"/>
        <v>50.498057887482773</v>
      </c>
    </row>
    <row r="28" spans="2:16" x14ac:dyDescent="0.25">
      <c r="B28" s="17" t="s">
        <v>33</v>
      </c>
      <c r="C28" s="209">
        <v>924</v>
      </c>
      <c r="D28" s="107">
        <v>317</v>
      </c>
      <c r="E28" s="15">
        <v>134</v>
      </c>
      <c r="G28" s="96">
        <v>2015</v>
      </c>
      <c r="H28" s="14">
        <v>61276</v>
      </c>
      <c r="I28" s="14">
        <v>28848</v>
      </c>
      <c r="J28" s="22"/>
      <c r="K28" s="14" t="s">
        <v>542</v>
      </c>
      <c r="L28" s="14">
        <v>33364</v>
      </c>
      <c r="M28" s="332">
        <f>SUM(L28-L12)/L12*100</f>
        <v>71.881922621194178</v>
      </c>
      <c r="N28" s="14">
        <v>16952</v>
      </c>
      <c r="O28" s="14">
        <f t="shared" si="0"/>
        <v>11896</v>
      </c>
      <c r="P28" s="299">
        <f t="shared" si="1"/>
        <v>50.809255484953844</v>
      </c>
    </row>
    <row r="29" spans="2:16" x14ac:dyDescent="0.25">
      <c r="B29" s="17" t="s">
        <v>34</v>
      </c>
      <c r="C29" s="209">
        <v>962</v>
      </c>
      <c r="D29" s="107">
        <v>579</v>
      </c>
      <c r="E29" s="15">
        <v>205</v>
      </c>
      <c r="G29" s="96">
        <v>2016</v>
      </c>
      <c r="H29" s="14">
        <v>72410</v>
      </c>
      <c r="I29" s="380">
        <v>31407</v>
      </c>
      <c r="J29" s="22"/>
      <c r="K29" s="14" t="s">
        <v>543</v>
      </c>
      <c r="L29" s="14">
        <v>38617</v>
      </c>
      <c r="M29" s="332">
        <f>SUM(L29-L12)/L12*100</f>
        <v>98.943897789912938</v>
      </c>
      <c r="N29" s="14">
        <v>19558</v>
      </c>
      <c r="O29" s="14">
        <f t="shared" si="0"/>
        <v>11849</v>
      </c>
      <c r="P29" s="299">
        <f t="shared" si="1"/>
        <v>50.646088510241604</v>
      </c>
    </row>
    <row r="30" spans="2:16" x14ac:dyDescent="0.25">
      <c r="B30" s="17" t="s">
        <v>35</v>
      </c>
      <c r="C30" s="209">
        <v>680</v>
      </c>
      <c r="D30" s="107">
        <v>295</v>
      </c>
      <c r="E30" s="15">
        <v>165</v>
      </c>
      <c r="G30" s="96">
        <v>2017</v>
      </c>
      <c r="H30" s="380">
        <v>75836</v>
      </c>
      <c r="I30" s="14">
        <v>30828</v>
      </c>
      <c r="J30" s="22"/>
      <c r="K30" s="14" t="s">
        <v>544</v>
      </c>
      <c r="L30" s="575">
        <v>41480</v>
      </c>
      <c r="M30" s="332">
        <f>SUM(L30-L12)/L12*100</f>
        <v>113.69326670444593</v>
      </c>
      <c r="N30" s="14">
        <v>17945</v>
      </c>
      <c r="O30" s="14">
        <f t="shared" si="0"/>
        <v>12883</v>
      </c>
      <c r="P30" s="299">
        <f t="shared" ref="P30:P34" si="2">SUM(N30/L30*100)</f>
        <v>43.261812921890069</v>
      </c>
    </row>
    <row r="31" spans="2:16" x14ac:dyDescent="0.25">
      <c r="B31" s="17" t="s">
        <v>36</v>
      </c>
      <c r="C31" s="209">
        <v>453</v>
      </c>
      <c r="D31" s="107">
        <v>207</v>
      </c>
      <c r="E31" s="15">
        <v>78</v>
      </c>
      <c r="G31" s="96">
        <v>2018</v>
      </c>
      <c r="H31" s="14">
        <v>61438</v>
      </c>
      <c r="I31" s="14">
        <v>20784</v>
      </c>
      <c r="J31" s="22"/>
      <c r="K31" s="14" t="s">
        <v>545</v>
      </c>
      <c r="L31" s="14">
        <v>34404</v>
      </c>
      <c r="M31" s="332">
        <f>SUM(L31-L12)/L12*100</f>
        <v>77.239709443099272</v>
      </c>
      <c r="N31" s="14">
        <v>12024</v>
      </c>
      <c r="O31" s="14">
        <f t="shared" si="0"/>
        <v>8760</v>
      </c>
      <c r="P31" s="299">
        <f t="shared" si="2"/>
        <v>34.949424485524936</v>
      </c>
    </row>
    <row r="32" spans="2:16" x14ac:dyDescent="0.25">
      <c r="B32" s="17" t="s">
        <v>37</v>
      </c>
      <c r="C32" s="209">
        <v>690</v>
      </c>
      <c r="D32" s="107">
        <v>334</v>
      </c>
      <c r="E32" s="15">
        <v>192</v>
      </c>
      <c r="G32" s="96">
        <v>2019</v>
      </c>
      <c r="H32" s="372">
        <v>53791</v>
      </c>
      <c r="I32" s="372">
        <v>20491</v>
      </c>
      <c r="J32" s="370"/>
      <c r="K32" s="14" t="s">
        <v>546</v>
      </c>
      <c r="L32" s="14">
        <v>31188</v>
      </c>
      <c r="M32" s="332">
        <f>SUM(L32-L12)/L12*100</f>
        <v>60.671784039977325</v>
      </c>
      <c r="N32" s="14">
        <v>12447</v>
      </c>
      <c r="O32" s="14">
        <f>SUM(I32-N32)</f>
        <v>8044</v>
      </c>
      <c r="P32" s="299">
        <f t="shared" si="2"/>
        <v>39.909580607926124</v>
      </c>
    </row>
    <row r="33" spans="2:27" x14ac:dyDescent="0.25">
      <c r="B33" s="17" t="s">
        <v>38</v>
      </c>
      <c r="C33" s="209">
        <v>3993</v>
      </c>
      <c r="D33" s="107">
        <v>521</v>
      </c>
      <c r="E33" s="15">
        <v>408</v>
      </c>
      <c r="G33" s="96">
        <v>2020</v>
      </c>
      <c r="H33" s="14">
        <v>37090</v>
      </c>
      <c r="I33" s="14">
        <v>14301</v>
      </c>
      <c r="K33" s="96" t="s">
        <v>547</v>
      </c>
      <c r="L33" s="380">
        <v>15976</v>
      </c>
      <c r="M33" s="332">
        <f>SUM(L33-L12)/L12*100</f>
        <v>-17.696151666580807</v>
      </c>
      <c r="N33" s="14">
        <v>6536</v>
      </c>
      <c r="O33" s="14">
        <f>SUM(I33-N33)</f>
        <v>7765</v>
      </c>
      <c r="P33" s="299">
        <f t="shared" si="2"/>
        <v>40.911367050575862</v>
      </c>
    </row>
    <row r="34" spans="2:27" ht="15.75" thickBot="1" x14ac:dyDescent="0.3">
      <c r="B34" s="18" t="s">
        <v>39</v>
      </c>
      <c r="C34" s="210">
        <v>569</v>
      </c>
      <c r="D34" s="109">
        <v>268</v>
      </c>
      <c r="E34" s="21">
        <v>108</v>
      </c>
      <c r="G34" s="96">
        <v>2021</v>
      </c>
      <c r="H34" s="14">
        <v>50760</v>
      </c>
      <c r="I34" s="14">
        <v>17820</v>
      </c>
      <c r="K34" s="96" t="s">
        <v>548</v>
      </c>
      <c r="L34" s="14">
        <v>24927</v>
      </c>
      <c r="M34" s="332">
        <f>SUM(L34-L12)/L12*100</f>
        <v>28.416877028489001</v>
      </c>
      <c r="N34" s="14">
        <v>9903</v>
      </c>
      <c r="O34" s="14">
        <f>SUM(I34-N34)</f>
        <v>7917</v>
      </c>
      <c r="P34" s="299">
        <f t="shared" si="2"/>
        <v>39.728005776868457</v>
      </c>
    </row>
    <row r="35" spans="2:27" x14ac:dyDescent="0.25">
      <c r="C35" s="366">
        <f>SUM(C10:C34)</f>
        <v>23753</v>
      </c>
      <c r="D35" s="299">
        <f>SUM(D9/C9)*100</f>
        <v>42.184145160611294</v>
      </c>
      <c r="E35" s="299">
        <f>SUM(E9/C9*100)</f>
        <v>17.442007325390477</v>
      </c>
      <c r="G35" s="788">
        <v>2022</v>
      </c>
      <c r="H35" s="789">
        <v>50402</v>
      </c>
      <c r="I35" s="789">
        <v>19293</v>
      </c>
      <c r="K35" s="96" t="s">
        <v>524</v>
      </c>
      <c r="L35" s="96">
        <v>27664</v>
      </c>
      <c r="M35" s="16">
        <f>SUM(L35-L12)/L12*100</f>
        <v>42.517129462675804</v>
      </c>
      <c r="N35" s="96">
        <v>11166</v>
      </c>
      <c r="O35" s="14">
        <f>SUM(I35-N35)</f>
        <v>8127</v>
      </c>
      <c r="P35" s="299">
        <f>SUM(N35/L35*100)</f>
        <v>40.362926547137072</v>
      </c>
    </row>
    <row r="36" spans="2:27" x14ac:dyDescent="0.25">
      <c r="G36" s="96">
        <v>2023</v>
      </c>
      <c r="H36" s="786"/>
      <c r="I36" s="786"/>
      <c r="K36" s="96" t="s">
        <v>523</v>
      </c>
      <c r="L36" s="96">
        <v>23753</v>
      </c>
      <c r="M36" s="16">
        <f>SUM(L36-L12)/L12*100</f>
        <v>22.368759981453813</v>
      </c>
      <c r="N36" s="96">
        <v>10020</v>
      </c>
      <c r="O36" s="575"/>
      <c r="P36" s="299">
        <f>SUM(N36/L36*100)</f>
        <v>42.184145160611294</v>
      </c>
    </row>
    <row r="37" spans="2:27" x14ac:dyDescent="0.25">
      <c r="G37" s="11" t="s">
        <v>351</v>
      </c>
      <c r="L37" s="366">
        <f>SUM(L36-L35)</f>
        <v>-3911</v>
      </c>
      <c r="N37" s="299">
        <f>SUM(N36)/L36*100</f>
        <v>42.184145160611294</v>
      </c>
    </row>
    <row r="38" spans="2:27" x14ac:dyDescent="0.25">
      <c r="L38" s="366"/>
      <c r="N38" s="299">
        <f>SUM(N35)/L35*100</f>
        <v>40.362926547137072</v>
      </c>
    </row>
    <row r="41" spans="2:27" x14ac:dyDescent="0.25">
      <c r="AA41" s="11" t="s">
        <v>352</v>
      </c>
    </row>
    <row r="42" spans="2:27" x14ac:dyDescent="0.25">
      <c r="AA42" s="137">
        <v>2003</v>
      </c>
    </row>
    <row r="43" spans="2:27" x14ac:dyDescent="0.25">
      <c r="AA43" s="137">
        <v>2006</v>
      </c>
    </row>
    <row r="44" spans="2:27" x14ac:dyDescent="0.25">
      <c r="AA44" s="137">
        <v>2008</v>
      </c>
    </row>
    <row r="45" spans="2:27" x14ac:dyDescent="0.25">
      <c r="AA45" s="137">
        <v>2010</v>
      </c>
    </row>
    <row r="46" spans="2:27" x14ac:dyDescent="0.25">
      <c r="AA46" s="137" t="s">
        <v>353</v>
      </c>
    </row>
  </sheetData>
  <mergeCells count="1">
    <mergeCell ref="D7:E7"/>
  </mergeCells>
  <printOptions horizontalCentered="1"/>
  <pageMargins left="0.70866141732283472" right="0.70866141732283472" top="1.7716535433070868" bottom="0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B1:S33"/>
  <sheetViews>
    <sheetView zoomScale="90" zoomScaleNormal="90" workbookViewId="0">
      <selection activeCell="B1" sqref="B1"/>
    </sheetView>
  </sheetViews>
  <sheetFormatPr defaultColWidth="9.140625" defaultRowHeight="15" x14ac:dyDescent="0.25"/>
  <cols>
    <col min="1" max="1" width="2.28515625" style="11" customWidth="1"/>
    <col min="2" max="2" width="22.140625" style="11" customWidth="1"/>
    <col min="3" max="3" width="9" style="11" customWidth="1"/>
    <col min="4" max="5" width="9.42578125" style="11" customWidth="1"/>
    <col min="6" max="6" width="13.140625" style="11" customWidth="1"/>
    <col min="7" max="7" width="13" style="11" customWidth="1"/>
    <col min="8" max="8" width="8.7109375" style="11" customWidth="1"/>
    <col min="9" max="9" width="9.85546875" style="11" customWidth="1"/>
    <col min="10" max="10" width="9.42578125" style="11" customWidth="1"/>
    <col min="11" max="11" width="13.42578125" style="11" customWidth="1"/>
    <col min="12" max="12" width="13.5703125" style="11" customWidth="1"/>
    <col min="13" max="13" width="2.5703125" style="11" customWidth="1"/>
    <col min="14" max="14" width="11.140625" style="11" customWidth="1"/>
    <col min="15" max="15" width="11.28515625" style="11" customWidth="1"/>
    <col min="16" max="16" width="5.85546875" style="11" customWidth="1"/>
    <col min="17" max="17" width="9.140625" style="11"/>
    <col min="18" max="18" width="12.85546875" style="11" customWidth="1"/>
    <col min="19" max="19" width="13.140625" style="11" customWidth="1"/>
    <col min="20" max="16384" width="9.140625" style="11"/>
  </cols>
  <sheetData>
    <row r="1" spans="2:19" ht="12.75" customHeight="1" x14ac:dyDescent="0.25"/>
    <row r="2" spans="2:19" x14ac:dyDescent="0.25">
      <c r="B2" s="11" t="s">
        <v>246</v>
      </c>
    </row>
    <row r="3" spans="2:19" x14ac:dyDescent="0.25">
      <c r="B3" s="11" t="s">
        <v>415</v>
      </c>
    </row>
    <row r="4" spans="2:19" ht="9" customHeight="1" thickBot="1" x14ac:dyDescent="0.3"/>
    <row r="5" spans="2:19" ht="33.75" customHeight="1" thickBot="1" x14ac:dyDescent="0.3">
      <c r="B5" s="899" t="s">
        <v>108</v>
      </c>
      <c r="C5" s="897" t="s">
        <v>110</v>
      </c>
      <c r="D5" s="897"/>
      <c r="E5" s="897"/>
      <c r="F5" s="897"/>
      <c r="G5" s="898"/>
      <c r="H5" s="896" t="s">
        <v>111</v>
      </c>
      <c r="I5" s="897"/>
      <c r="J5" s="897"/>
      <c r="K5" s="897"/>
      <c r="L5" s="898"/>
    </row>
    <row r="6" spans="2:19" ht="59.25" customHeight="1" thickBot="1" x14ac:dyDescent="0.3">
      <c r="B6" s="900"/>
      <c r="C6" s="542" t="s">
        <v>413</v>
      </c>
      <c r="D6" s="543" t="s">
        <v>490</v>
      </c>
      <c r="E6" s="544" t="s">
        <v>491</v>
      </c>
      <c r="F6" s="584" t="s">
        <v>495</v>
      </c>
      <c r="G6" s="546" t="s">
        <v>492</v>
      </c>
      <c r="H6" s="547" t="s">
        <v>493</v>
      </c>
      <c r="I6" s="543" t="s">
        <v>494</v>
      </c>
      <c r="J6" s="544" t="s">
        <v>491</v>
      </c>
      <c r="K6" s="584" t="s">
        <v>565</v>
      </c>
      <c r="L6" s="546" t="s">
        <v>566</v>
      </c>
      <c r="N6" s="540" t="s">
        <v>340</v>
      </c>
      <c r="O6" s="540" t="s">
        <v>339</v>
      </c>
      <c r="Q6" s="866" t="s">
        <v>575</v>
      </c>
      <c r="R6" s="867" t="str">
        <f>T(B5)</f>
        <v>powiaty</v>
      </c>
      <c r="S6" s="868" t="str">
        <f>T(F6)</f>
        <v>wzrost/spadek do XII '23 (liczba)</v>
      </c>
    </row>
    <row r="7" spans="2:19" ht="24.75" customHeight="1" thickBot="1" x14ac:dyDescent="0.3">
      <c r="B7" s="548" t="s">
        <v>14</v>
      </c>
      <c r="C7" s="549">
        <f>SUM(C8:C32)</f>
        <v>69016</v>
      </c>
      <c r="D7" s="550">
        <f>SUM(D8:D32)</f>
        <v>69046</v>
      </c>
      <c r="E7" s="551">
        <f>SUM(E8:E32)</f>
        <v>65064</v>
      </c>
      <c r="F7" s="550">
        <f>SUM(E7-D7)</f>
        <v>-3982</v>
      </c>
      <c r="G7" s="552">
        <f>SUM(E7-C7)</f>
        <v>-3952</v>
      </c>
      <c r="H7" s="553">
        <v>8.9</v>
      </c>
      <c r="I7" s="554">
        <v>8.8000000000000007</v>
      </c>
      <c r="J7" s="555">
        <v>8.4</v>
      </c>
      <c r="K7" s="554">
        <f t="shared" ref="K7:K12" si="0">SUM(J7-I7)</f>
        <v>-0.40000000000000036</v>
      </c>
      <c r="L7" s="556">
        <f t="shared" ref="L7:L16" si="1">SUM(J7-H7)</f>
        <v>-0.5</v>
      </c>
      <c r="N7" s="374" t="s">
        <v>93</v>
      </c>
      <c r="O7" s="374" t="s">
        <v>93</v>
      </c>
      <c r="Q7" s="869">
        <f>RANK(F8,$F$8:$F$32,1)+COUNTIF($F$8:F8,F8)-1</f>
        <v>14</v>
      </c>
      <c r="R7" s="873" t="str">
        <f>INDEX(B7:L32,MATCH(1,Q7:Q32,0),1)</f>
        <v>przemyski</v>
      </c>
      <c r="S7" s="870" t="str">
        <f>INDEX(B7:L32,MATCH(1,Q7:Q32,0),1)</f>
        <v>przemyski</v>
      </c>
    </row>
    <row r="8" spans="2:19" ht="16.5" customHeight="1" x14ac:dyDescent="0.25">
      <c r="B8" s="54" t="s">
        <v>15</v>
      </c>
      <c r="C8" s="423">
        <v>1033</v>
      </c>
      <c r="D8" s="31">
        <v>1112</v>
      </c>
      <c r="E8" s="35">
        <v>984</v>
      </c>
      <c r="F8" s="862">
        <f>SUM(E8-D8)</f>
        <v>-128</v>
      </c>
      <c r="G8" s="141">
        <f>SUM(E8-C8)</f>
        <v>-49</v>
      </c>
      <c r="H8" s="333">
        <v>15.4</v>
      </c>
      <c r="I8" s="424">
        <v>16.3</v>
      </c>
      <c r="J8" s="425">
        <v>14.7</v>
      </c>
      <c r="K8" s="585">
        <f t="shared" si="0"/>
        <v>-1.6000000000000014</v>
      </c>
      <c r="L8" s="32">
        <f t="shared" si="1"/>
        <v>-0.70000000000000107</v>
      </c>
      <c r="N8" s="181">
        <f>RANK(F8,F8:F32,0)</f>
        <v>12</v>
      </c>
      <c r="O8" s="181">
        <f>RANK(F8,F8:F32,1)</f>
        <v>14</v>
      </c>
      <c r="Q8" s="869">
        <f>RANK(F9,$F$8:$F$32,1)+COUNTIF($F$8:F9,F9)-1</f>
        <v>2</v>
      </c>
      <c r="R8" s="873" t="str">
        <f>INDEX(B7:L32,MATCH(1,Q7:Q32,0),1)</f>
        <v>przemyski</v>
      </c>
      <c r="S8" s="869" t="str">
        <f t="shared" ref="S8:S32" si="2">INDEX(B8:L33,MATCH(1,Q8:Q33,0),1)</f>
        <v>przemyski</v>
      </c>
    </row>
    <row r="9" spans="2:19" ht="15" customHeight="1" x14ac:dyDescent="0.25">
      <c r="B9" s="12" t="s">
        <v>16</v>
      </c>
      <c r="C9" s="292">
        <v>3904</v>
      </c>
      <c r="D9" s="13">
        <v>4038</v>
      </c>
      <c r="E9" s="33">
        <v>3561</v>
      </c>
      <c r="F9" s="863">
        <f>SUM(E9-D9)</f>
        <v>-477</v>
      </c>
      <c r="G9" s="15">
        <f>SUM(E9-C9)</f>
        <v>-343</v>
      </c>
      <c r="H9" s="332">
        <v>20.6</v>
      </c>
      <c r="I9" s="183">
        <v>21.1</v>
      </c>
      <c r="J9" s="396">
        <v>19.100000000000001</v>
      </c>
      <c r="K9" s="586">
        <f t="shared" si="0"/>
        <v>-2</v>
      </c>
      <c r="L9" s="26">
        <f t="shared" si="1"/>
        <v>-1.5</v>
      </c>
      <c r="N9" s="9">
        <f>RANK(F9,F8:F32,0)</f>
        <v>24</v>
      </c>
      <c r="O9" s="9">
        <f>RANK(F9,F8:F32,1)</f>
        <v>2</v>
      </c>
      <c r="Q9" s="869">
        <f>RANK(F10,$F$8:$F$32,1)+COUNTIF($F$8:F10,F10)-1</f>
        <v>19</v>
      </c>
      <c r="R9" s="873" t="str">
        <f>INDEX(B7:L32,MATCH(1,Q7:Q32,0),1)</f>
        <v>przemyski</v>
      </c>
      <c r="S9" s="869" t="str">
        <f t="shared" si="2"/>
        <v>przemyski</v>
      </c>
    </row>
    <row r="10" spans="2:19" ht="15" customHeight="1" x14ac:dyDescent="0.25">
      <c r="B10" s="12" t="s">
        <v>17</v>
      </c>
      <c r="C10" s="292">
        <v>2394</v>
      </c>
      <c r="D10" s="13">
        <v>2435</v>
      </c>
      <c r="E10" s="33">
        <v>2393</v>
      </c>
      <c r="F10" s="863">
        <f t="shared" ref="F10:F32" si="3">SUM(E10-D10)</f>
        <v>-42</v>
      </c>
      <c r="G10" s="15">
        <f t="shared" ref="G10:G32" si="4">SUM(E10-C10)</f>
        <v>-1</v>
      </c>
      <c r="H10" s="332">
        <v>4.7</v>
      </c>
      <c r="I10" s="183">
        <v>4.8</v>
      </c>
      <c r="J10" s="396">
        <v>4.7</v>
      </c>
      <c r="K10" s="586">
        <f t="shared" si="0"/>
        <v>-9.9999999999999645E-2</v>
      </c>
      <c r="L10" s="26">
        <f t="shared" si="1"/>
        <v>0</v>
      </c>
      <c r="N10" s="9">
        <f>RANK(F10,F8:F32,0)</f>
        <v>7</v>
      </c>
      <c r="O10" s="9">
        <f>RANK(F10,F8:F32,1)</f>
        <v>19</v>
      </c>
      <c r="Q10" s="869">
        <f>RANK(F11,$F$8:$F$32,1)+COUNTIF($F$8:F11,F11)-1</f>
        <v>3</v>
      </c>
      <c r="R10" s="873" t="str">
        <f>INDEX(B7:L32,MATCH(1,Q7:Q32,0),1)</f>
        <v>przemyski</v>
      </c>
      <c r="S10" s="869" t="str">
        <f t="shared" si="2"/>
        <v>przemyski</v>
      </c>
    </row>
    <row r="11" spans="2:19" ht="15.75" customHeight="1" x14ac:dyDescent="0.25">
      <c r="B11" s="12" t="s">
        <v>18</v>
      </c>
      <c r="C11" s="292">
        <v>4646</v>
      </c>
      <c r="D11" s="13">
        <v>4674</v>
      </c>
      <c r="E11" s="33">
        <v>4248</v>
      </c>
      <c r="F11" s="863">
        <f>SUM(E11-D11)</f>
        <v>-426</v>
      </c>
      <c r="G11" s="15">
        <f t="shared" si="4"/>
        <v>-398</v>
      </c>
      <c r="H11" s="332">
        <v>11.6</v>
      </c>
      <c r="I11" s="183">
        <v>11.6</v>
      </c>
      <c r="J11" s="396">
        <v>10.7</v>
      </c>
      <c r="K11" s="586">
        <f t="shared" si="0"/>
        <v>-0.90000000000000036</v>
      </c>
      <c r="L11" s="26">
        <f t="shared" si="1"/>
        <v>-0.90000000000000036</v>
      </c>
      <c r="N11" s="9">
        <f>RANK(F11,F8:F32,0)</f>
        <v>23</v>
      </c>
      <c r="O11" s="9">
        <f>RANK(F11,F8:F32,1)</f>
        <v>3</v>
      </c>
      <c r="Q11" s="869">
        <f>RANK(F12,$F$8:$F$32,1)+COUNTIF($F$8:F12,F12)-1</f>
        <v>9</v>
      </c>
      <c r="R11" s="873" t="str">
        <f>INDEX(B7:L32,MATCH(1,Q7:Q32,0),1)</f>
        <v>przemyski</v>
      </c>
      <c r="S11" s="869" t="str">
        <f t="shared" si="2"/>
        <v>przemyski</v>
      </c>
    </row>
    <row r="12" spans="2:19" ht="16.5" customHeight="1" x14ac:dyDescent="0.25">
      <c r="B12" s="12" t="s">
        <v>19</v>
      </c>
      <c r="C12" s="292">
        <v>4770</v>
      </c>
      <c r="D12" s="13">
        <v>4926</v>
      </c>
      <c r="E12" s="33">
        <v>4686</v>
      </c>
      <c r="F12" s="863">
        <f t="shared" si="3"/>
        <v>-240</v>
      </c>
      <c r="G12" s="15">
        <f t="shared" si="4"/>
        <v>-84</v>
      </c>
      <c r="H12" s="332">
        <v>12.5</v>
      </c>
      <c r="I12" s="183">
        <v>12.9</v>
      </c>
      <c r="J12" s="396">
        <v>12.3</v>
      </c>
      <c r="K12" s="586">
        <f t="shared" si="0"/>
        <v>-0.59999999999999964</v>
      </c>
      <c r="L12" s="26">
        <f t="shared" si="1"/>
        <v>-0.19999999999999929</v>
      </c>
      <c r="N12" s="9">
        <f>RANK(F12,F8:F32,0)</f>
        <v>17</v>
      </c>
      <c r="O12" s="9">
        <f>RANK(F12,F8:F32,1)</f>
        <v>9</v>
      </c>
      <c r="Q12" s="869">
        <f>RANK(F13,$F$8:$F$32,1)+COUNTIF($F$8:F13,F13)-1</f>
        <v>18</v>
      </c>
      <c r="R12" s="873" t="str">
        <f>INDEX(B7:L32,MATCH(1,Q7:Q32,0),1)</f>
        <v>przemyski</v>
      </c>
      <c r="S12" s="869" t="str">
        <f t="shared" si="2"/>
        <v>przemyski</v>
      </c>
    </row>
    <row r="13" spans="2:19" ht="15.75" customHeight="1" x14ac:dyDescent="0.25">
      <c r="B13" s="12" t="s">
        <v>20</v>
      </c>
      <c r="C13" s="292">
        <v>1621</v>
      </c>
      <c r="D13" s="13">
        <v>1577</v>
      </c>
      <c r="E13" s="33">
        <v>1519</v>
      </c>
      <c r="F13" s="863">
        <f t="shared" si="3"/>
        <v>-58</v>
      </c>
      <c r="G13" s="15">
        <f t="shared" si="4"/>
        <v>-102</v>
      </c>
      <c r="H13" s="332">
        <v>8.6999999999999993</v>
      </c>
      <c r="I13" s="183">
        <v>8.5</v>
      </c>
      <c r="J13" s="396">
        <v>8.1999999999999993</v>
      </c>
      <c r="K13" s="586">
        <f t="shared" ref="K13:K32" si="5">SUM(J13-I13)</f>
        <v>-0.30000000000000071</v>
      </c>
      <c r="L13" s="26">
        <f t="shared" si="1"/>
        <v>-0.5</v>
      </c>
      <c r="N13" s="9">
        <f>RANK(F13,F8:F32,0)</f>
        <v>8</v>
      </c>
      <c r="O13" s="9">
        <f>RANK(F13,F8:F32,1)</f>
        <v>18</v>
      </c>
      <c r="Q13" s="869">
        <f>RANK(F14,$F$8:$F$32,1)+COUNTIF($F$8:F14,F14)-1</f>
        <v>24</v>
      </c>
      <c r="R13" s="874" t="str">
        <f>INDEX(B7:L32,MATCH(1,Q7:Q32,0),1)</f>
        <v>przemyski</v>
      </c>
      <c r="S13" s="869" t="str">
        <f t="shared" si="2"/>
        <v>przemyski</v>
      </c>
    </row>
    <row r="14" spans="2:19" x14ac:dyDescent="0.25">
      <c r="B14" s="12" t="s">
        <v>21</v>
      </c>
      <c r="C14" s="292">
        <v>1824</v>
      </c>
      <c r="D14" s="13">
        <v>2018</v>
      </c>
      <c r="E14" s="33">
        <v>2076</v>
      </c>
      <c r="F14" s="860">
        <f t="shared" si="3"/>
        <v>58</v>
      </c>
      <c r="G14" s="15">
        <f t="shared" si="4"/>
        <v>252</v>
      </c>
      <c r="H14" s="332">
        <v>7.1</v>
      </c>
      <c r="I14" s="183">
        <v>7.8</v>
      </c>
      <c r="J14" s="396">
        <v>8</v>
      </c>
      <c r="K14" s="586">
        <f t="shared" si="5"/>
        <v>0.20000000000000018</v>
      </c>
      <c r="L14" s="26">
        <f t="shared" si="1"/>
        <v>0.90000000000000036</v>
      </c>
      <c r="N14" s="9">
        <f>RANK(F14,F8:F32,0)</f>
        <v>2</v>
      </c>
      <c r="O14" s="9">
        <f>RANK(F14,F8:F32,1)</f>
        <v>24</v>
      </c>
      <c r="Q14" s="869">
        <f>RANK(F15,$F$8:$F$32,1)+COUNTIF($F$8:F15,F15)-1</f>
        <v>11</v>
      </c>
      <c r="R14" s="873" t="str">
        <f>INDEX(B7:L32,MATCH(1,Q7:Q32,0),1)</f>
        <v>przemyski</v>
      </c>
      <c r="S14" s="869" t="str">
        <f t="shared" si="2"/>
        <v>przemyski</v>
      </c>
    </row>
    <row r="15" spans="2:19" x14ac:dyDescent="0.25">
      <c r="B15" s="557" t="s">
        <v>22</v>
      </c>
      <c r="C15" s="558">
        <v>1560</v>
      </c>
      <c r="D15" s="559">
        <v>1747</v>
      </c>
      <c r="E15" s="560">
        <v>1571</v>
      </c>
      <c r="F15" s="865">
        <f t="shared" si="3"/>
        <v>-176</v>
      </c>
      <c r="G15" s="561">
        <f t="shared" si="4"/>
        <v>11</v>
      </c>
      <c r="H15" s="562">
        <v>17.8</v>
      </c>
      <c r="I15" s="563">
        <v>19.399999999999999</v>
      </c>
      <c r="J15" s="564">
        <v>17.8</v>
      </c>
      <c r="K15" s="587">
        <f t="shared" si="5"/>
        <v>-1.5999999999999979</v>
      </c>
      <c r="L15" s="565">
        <f t="shared" si="1"/>
        <v>0</v>
      </c>
      <c r="N15" s="566">
        <f>RANK(F15,F8:F32,0)</f>
        <v>15</v>
      </c>
      <c r="O15" s="566">
        <f>RANK(F15,F8:F32,1)</f>
        <v>11</v>
      </c>
      <c r="Q15" s="869">
        <f>RANK(F16,$F$8:$F$32,1)+COUNTIF($F$8:F16,F16)-1</f>
        <v>5</v>
      </c>
      <c r="R15" s="873" t="str">
        <f>INDEX(B7:L32,MATCH(1,Q7:Q32,0),1)</f>
        <v>przemyski</v>
      </c>
      <c r="S15" s="869" t="str">
        <f t="shared" si="2"/>
        <v>przemyski</v>
      </c>
    </row>
    <row r="16" spans="2:19" ht="16.5" customHeight="1" x14ac:dyDescent="0.25">
      <c r="B16" s="12" t="s">
        <v>23</v>
      </c>
      <c r="C16" s="292">
        <v>3283</v>
      </c>
      <c r="D16" s="13">
        <v>3198</v>
      </c>
      <c r="E16" s="33">
        <v>2898</v>
      </c>
      <c r="F16" s="863">
        <f t="shared" si="3"/>
        <v>-300</v>
      </c>
      <c r="G16" s="15">
        <f t="shared" si="4"/>
        <v>-385</v>
      </c>
      <c r="H16" s="332">
        <v>15.8</v>
      </c>
      <c r="I16" s="183">
        <v>15.4</v>
      </c>
      <c r="J16" s="396">
        <v>14.2</v>
      </c>
      <c r="K16" s="586">
        <f t="shared" si="5"/>
        <v>-1.2000000000000011</v>
      </c>
      <c r="L16" s="26">
        <f t="shared" si="1"/>
        <v>-1.6000000000000014</v>
      </c>
      <c r="N16" s="9">
        <f>RANK(F16,F8:F32,0)</f>
        <v>21</v>
      </c>
      <c r="O16" s="9">
        <f>RANK(F16,F8:F32,1)</f>
        <v>5</v>
      </c>
      <c r="Q16" s="869">
        <f>RANK(F17,$F$8:$F$32,1)+COUNTIF($F$8:F17,F17)-1</f>
        <v>7</v>
      </c>
      <c r="R16" s="873" t="str">
        <f>INDEX(B7:L32,MATCH(1,Q7:Q32,0),1)</f>
        <v>przemyski</v>
      </c>
      <c r="S16" s="869" t="str">
        <f t="shared" si="2"/>
        <v>przemyski</v>
      </c>
    </row>
    <row r="17" spans="2:19" x14ac:dyDescent="0.25">
      <c r="B17" s="12" t="s">
        <v>24</v>
      </c>
      <c r="C17" s="292">
        <v>1669</v>
      </c>
      <c r="D17" s="13">
        <v>1831</v>
      </c>
      <c r="E17" s="33">
        <v>1573</v>
      </c>
      <c r="F17" s="863">
        <f t="shared" si="3"/>
        <v>-258</v>
      </c>
      <c r="G17" s="15">
        <f t="shared" si="4"/>
        <v>-96</v>
      </c>
      <c r="H17" s="332">
        <v>10.3</v>
      </c>
      <c r="I17" s="183">
        <v>11.1</v>
      </c>
      <c r="J17" s="396">
        <v>9.6999999999999993</v>
      </c>
      <c r="K17" s="586">
        <f t="shared" si="5"/>
        <v>-1.4000000000000004</v>
      </c>
      <c r="L17" s="26">
        <f t="shared" ref="L17:L32" si="6">SUM(J17-H17)</f>
        <v>-0.60000000000000142</v>
      </c>
      <c r="N17" s="9">
        <f>RANK(F17,F8:F32,0)</f>
        <v>19</v>
      </c>
      <c r="O17" s="9">
        <f>RANK(F17,F8:F32,1)</f>
        <v>7</v>
      </c>
      <c r="Q17" s="869">
        <f>RANK(F18,$F$8:$F$32,1)+COUNTIF($F$8:F18,F18)-1</f>
        <v>13</v>
      </c>
      <c r="R17" s="873" t="str">
        <f>INDEX(B7:L32,MATCH(1,Q7:Q32,0),1)</f>
        <v>przemyski</v>
      </c>
      <c r="S17" s="869" t="str">
        <f t="shared" si="2"/>
        <v>przemyski</v>
      </c>
    </row>
    <row r="18" spans="2:19" x14ac:dyDescent="0.25">
      <c r="B18" s="12" t="s">
        <v>25</v>
      </c>
      <c r="C18" s="292">
        <v>2858</v>
      </c>
      <c r="D18" s="13">
        <v>2629</v>
      </c>
      <c r="E18" s="33">
        <v>2476</v>
      </c>
      <c r="F18" s="863">
        <f t="shared" si="3"/>
        <v>-153</v>
      </c>
      <c r="G18" s="15">
        <f t="shared" si="4"/>
        <v>-382</v>
      </c>
      <c r="H18" s="332">
        <v>10.8</v>
      </c>
      <c r="I18" s="183">
        <v>10</v>
      </c>
      <c r="J18" s="396">
        <v>9.5</v>
      </c>
      <c r="K18" s="586">
        <f t="shared" si="5"/>
        <v>-0.5</v>
      </c>
      <c r="L18" s="26">
        <f t="shared" si="6"/>
        <v>-1.3000000000000007</v>
      </c>
      <c r="N18" s="9">
        <f>RANK(F18,F8:F32,0)</f>
        <v>13</v>
      </c>
      <c r="O18" s="9">
        <f>RANK(F18,F8:F32,1)</f>
        <v>13</v>
      </c>
      <c r="Q18" s="869">
        <f>RANK(F19,$F$8:$F$32,1)+COUNTIF($F$8:F19,F19)-1</f>
        <v>25</v>
      </c>
      <c r="R18" s="873" t="str">
        <f>INDEX(B7:L32,MATCH(1,Q7:Q32,0),1)</f>
        <v>przemyski</v>
      </c>
      <c r="S18" s="869" t="str">
        <f t="shared" si="2"/>
        <v>przemyski</v>
      </c>
    </row>
    <row r="19" spans="2:19" x14ac:dyDescent="0.25">
      <c r="B19" s="12" t="s">
        <v>26</v>
      </c>
      <c r="C19" s="292">
        <v>2520</v>
      </c>
      <c r="D19" s="13">
        <v>2517</v>
      </c>
      <c r="E19" s="33">
        <v>2784</v>
      </c>
      <c r="F19" s="860">
        <f t="shared" si="3"/>
        <v>267</v>
      </c>
      <c r="G19" s="15">
        <f t="shared" si="4"/>
        <v>264</v>
      </c>
      <c r="H19" s="332">
        <v>4.4000000000000004</v>
      </c>
      <c r="I19" s="183">
        <v>4.4000000000000004</v>
      </c>
      <c r="J19" s="396">
        <v>4.8</v>
      </c>
      <c r="K19" s="586">
        <f t="shared" si="5"/>
        <v>0.39999999999999947</v>
      </c>
      <c r="L19" s="26">
        <f t="shared" si="6"/>
        <v>0.39999999999999947</v>
      </c>
      <c r="N19" s="9">
        <f>RANK(F19,F8:F32,0)</f>
        <v>1</v>
      </c>
      <c r="O19" s="9">
        <f>RANK(F19,F8:F32,1)</f>
        <v>25</v>
      </c>
      <c r="Q19" s="869">
        <f>RANK(F20,$F$8:$F$32,1)+COUNTIF($F$8:F20,F20)-1</f>
        <v>15</v>
      </c>
      <c r="R19" s="873" t="str">
        <f>INDEX(B7:L32,MATCH(1,Q7:Q32,0),1)</f>
        <v>przemyski</v>
      </c>
      <c r="S19" s="869" t="str">
        <f t="shared" si="2"/>
        <v>przemyski</v>
      </c>
    </row>
    <row r="20" spans="2:19" x14ac:dyDescent="0.25">
      <c r="B20" s="12" t="s">
        <v>27</v>
      </c>
      <c r="C20" s="292">
        <v>3137</v>
      </c>
      <c r="D20" s="13">
        <v>3116</v>
      </c>
      <c r="E20" s="33">
        <v>3009</v>
      </c>
      <c r="F20" s="863">
        <f t="shared" si="3"/>
        <v>-107</v>
      </c>
      <c r="G20" s="15">
        <f t="shared" si="4"/>
        <v>-128</v>
      </c>
      <c r="H20" s="332">
        <v>17.600000000000001</v>
      </c>
      <c r="I20" s="183">
        <v>17.5</v>
      </c>
      <c r="J20" s="396">
        <v>17</v>
      </c>
      <c r="K20" s="586">
        <f t="shared" si="5"/>
        <v>-0.5</v>
      </c>
      <c r="L20" s="26">
        <f t="shared" si="6"/>
        <v>-0.60000000000000142</v>
      </c>
      <c r="N20" s="9">
        <f>RANK(F20,F8:F32,0)</f>
        <v>11</v>
      </c>
      <c r="O20" s="9">
        <f>RANK(F20,F8:F32,1)</f>
        <v>15</v>
      </c>
      <c r="Q20" s="869">
        <f>RANK(F21,$F$8:$F$32,1)+COUNTIF($F$8:F21,F21)-1</f>
        <v>6</v>
      </c>
      <c r="R20" s="873" t="str">
        <f>INDEX(B7:L32,MATCH(1,Q7:Q32,0),1)</f>
        <v>przemyski</v>
      </c>
      <c r="S20" s="869" t="str">
        <f t="shared" si="2"/>
        <v>przemyski</v>
      </c>
    </row>
    <row r="21" spans="2:19" x14ac:dyDescent="0.25">
      <c r="B21" s="17" t="s">
        <v>28</v>
      </c>
      <c r="C21" s="292">
        <v>3068</v>
      </c>
      <c r="D21" s="13">
        <v>3084</v>
      </c>
      <c r="E21" s="33">
        <v>2794</v>
      </c>
      <c r="F21" s="863">
        <f t="shared" si="3"/>
        <v>-290</v>
      </c>
      <c r="G21" s="15">
        <f t="shared" si="4"/>
        <v>-274</v>
      </c>
      <c r="H21" s="332">
        <v>17.5</v>
      </c>
      <c r="I21" s="183">
        <v>17.5</v>
      </c>
      <c r="J21" s="396">
        <v>16.2</v>
      </c>
      <c r="K21" s="586">
        <f t="shared" si="5"/>
        <v>-1.3000000000000007</v>
      </c>
      <c r="L21" s="26">
        <f t="shared" si="6"/>
        <v>-1.3000000000000007</v>
      </c>
      <c r="N21" s="9">
        <f>RANK(F21,F8:F32,0)</f>
        <v>20</v>
      </c>
      <c r="O21" s="9">
        <f>RANK(F21,F8:F32,1)</f>
        <v>6</v>
      </c>
      <c r="Q21" s="869">
        <f>RANK(F22,$F$8:$F$32,1)+COUNTIF($F$8:F22,F22)-1</f>
        <v>1</v>
      </c>
      <c r="R21" s="873" t="str">
        <f>INDEX(B7:L32,MATCH(1,Q7:Q32,0),1)</f>
        <v>przemyski</v>
      </c>
      <c r="S21" s="869" t="str">
        <f t="shared" si="2"/>
        <v>przemyski</v>
      </c>
    </row>
    <row r="22" spans="2:19" x14ac:dyDescent="0.25">
      <c r="B22" s="17" t="s">
        <v>29</v>
      </c>
      <c r="C22" s="292">
        <v>3498</v>
      </c>
      <c r="D22" s="13">
        <v>3654</v>
      </c>
      <c r="E22" s="33">
        <v>3149</v>
      </c>
      <c r="F22" s="863">
        <f t="shared" si="3"/>
        <v>-505</v>
      </c>
      <c r="G22" s="15">
        <f t="shared" si="4"/>
        <v>-349</v>
      </c>
      <c r="H22" s="332">
        <v>14.5</v>
      </c>
      <c r="I22" s="183">
        <v>15</v>
      </c>
      <c r="J22" s="396">
        <v>13.2</v>
      </c>
      <c r="K22" s="586">
        <f t="shared" si="5"/>
        <v>-1.8000000000000007</v>
      </c>
      <c r="L22" s="26">
        <f t="shared" si="6"/>
        <v>-1.3000000000000007</v>
      </c>
      <c r="N22" s="9">
        <f>RANK(F22,F8:F32,0)</f>
        <v>25</v>
      </c>
      <c r="O22" s="9">
        <f>RANK(F22,F8:F32,1)</f>
        <v>1</v>
      </c>
      <c r="Q22" s="869">
        <f>RANK(F23,$F$8:$F$32,1)+COUNTIF($F$8:F23,F23)-1</f>
        <v>10</v>
      </c>
      <c r="R22" s="873" t="str">
        <f>INDEX(B7:L32,MATCH(1,Q7:Q32,0),1)</f>
        <v>przemyski</v>
      </c>
      <c r="S22" s="869" t="e">
        <f t="shared" si="2"/>
        <v>#N/A</v>
      </c>
    </row>
    <row r="23" spans="2:19" x14ac:dyDescent="0.25">
      <c r="B23" s="17" t="s">
        <v>30</v>
      </c>
      <c r="C23" s="292">
        <v>2974</v>
      </c>
      <c r="D23" s="13">
        <v>2769</v>
      </c>
      <c r="E23" s="33">
        <v>2559</v>
      </c>
      <c r="F23" s="863">
        <f t="shared" si="3"/>
        <v>-210</v>
      </c>
      <c r="G23" s="15">
        <f t="shared" si="4"/>
        <v>-415</v>
      </c>
      <c r="H23" s="332">
        <v>12.2</v>
      </c>
      <c r="I23" s="183">
        <v>11.5</v>
      </c>
      <c r="J23" s="396">
        <v>10.7</v>
      </c>
      <c r="K23" s="586">
        <f t="shared" si="5"/>
        <v>-0.80000000000000071</v>
      </c>
      <c r="L23" s="26">
        <f t="shared" si="6"/>
        <v>-1.5</v>
      </c>
      <c r="N23" s="9">
        <f>RANK(F23,F8:F32,0)</f>
        <v>16</v>
      </c>
      <c r="O23" s="9">
        <f>RANK(F23,F8:F32,1)</f>
        <v>10</v>
      </c>
      <c r="Q23" s="869">
        <f>RANK(F24,$F$8:$F$32,1)+COUNTIF($F$8:F24,F24)-1</f>
        <v>4</v>
      </c>
      <c r="R23" s="873" t="str">
        <f>INDEX(B7:L32,MATCH(1,Q7:Q32,0),1)</f>
        <v>przemyski</v>
      </c>
      <c r="S23" s="869" t="e">
        <f t="shared" si="2"/>
        <v>#N/A</v>
      </c>
    </row>
    <row r="24" spans="2:19" x14ac:dyDescent="0.25">
      <c r="B24" s="17" t="s">
        <v>31</v>
      </c>
      <c r="C24" s="292">
        <v>4947</v>
      </c>
      <c r="D24" s="13">
        <v>4962</v>
      </c>
      <c r="E24" s="33">
        <v>4595</v>
      </c>
      <c r="F24" s="863">
        <f t="shared" si="3"/>
        <v>-367</v>
      </c>
      <c r="G24" s="15">
        <f t="shared" si="4"/>
        <v>-352</v>
      </c>
      <c r="H24" s="332">
        <v>8.6</v>
      </c>
      <c r="I24" s="183">
        <v>8.6</v>
      </c>
      <c r="J24" s="396">
        <v>8</v>
      </c>
      <c r="K24" s="586">
        <f t="shared" si="5"/>
        <v>-0.59999999999999964</v>
      </c>
      <c r="L24" s="26">
        <f t="shared" si="6"/>
        <v>-0.59999999999999964</v>
      </c>
      <c r="N24" s="9">
        <f>RANK(F24,F8:F32,0)</f>
        <v>22</v>
      </c>
      <c r="O24" s="9">
        <f>RANK(F24,F8:F32,1)</f>
        <v>4</v>
      </c>
      <c r="Q24" s="869">
        <f>RANK(F25,$F$8:$F$32,1)+COUNTIF($F$8:F25,F25)-1</f>
        <v>21</v>
      </c>
      <c r="R24" s="873" t="str">
        <f>INDEX(B7:L32,MATCH(1,Q7:Q32,0),1)</f>
        <v>przemyski</v>
      </c>
      <c r="S24" s="869" t="e">
        <f t="shared" si="2"/>
        <v>#N/A</v>
      </c>
    </row>
    <row r="25" spans="2:19" x14ac:dyDescent="0.25">
      <c r="B25" s="17" t="s">
        <v>32</v>
      </c>
      <c r="C25" s="292">
        <v>2379</v>
      </c>
      <c r="D25" s="13">
        <v>2644</v>
      </c>
      <c r="E25" s="33">
        <v>2644</v>
      </c>
      <c r="F25" s="860">
        <f t="shared" si="3"/>
        <v>0</v>
      </c>
      <c r="G25" s="15">
        <f t="shared" si="4"/>
        <v>265</v>
      </c>
      <c r="H25" s="332">
        <v>7</v>
      </c>
      <c r="I25" s="183">
        <v>7.7</v>
      </c>
      <c r="J25" s="396">
        <v>7.7</v>
      </c>
      <c r="K25" s="586">
        <f t="shared" si="5"/>
        <v>0</v>
      </c>
      <c r="L25" s="26">
        <f t="shared" si="6"/>
        <v>0.70000000000000018</v>
      </c>
      <c r="N25" s="9">
        <f>RANK(F25,F8:F32,0)</f>
        <v>5</v>
      </c>
      <c r="O25" s="9">
        <f>RANK(F25,F8:F32,1)</f>
        <v>21</v>
      </c>
      <c r="Q25" s="869">
        <f>RANK(F26,$F$8:$F$32,1)+COUNTIF($F$8:F26,F26)-1</f>
        <v>23</v>
      </c>
      <c r="R25" s="873" t="str">
        <f>INDEX(B7:L32,MATCH(1,Q7:Q32,0),1)</f>
        <v>przemyski</v>
      </c>
      <c r="S25" s="869" t="e">
        <f t="shared" si="2"/>
        <v>#N/A</v>
      </c>
    </row>
    <row r="26" spans="2:19" x14ac:dyDescent="0.25">
      <c r="B26" s="17" t="s">
        <v>33</v>
      </c>
      <c r="C26" s="292">
        <v>1948</v>
      </c>
      <c r="D26" s="13">
        <v>1841</v>
      </c>
      <c r="E26" s="33">
        <v>1853</v>
      </c>
      <c r="F26" s="860">
        <f t="shared" si="3"/>
        <v>12</v>
      </c>
      <c r="G26" s="15">
        <f t="shared" si="4"/>
        <v>-95</v>
      </c>
      <c r="H26" s="332">
        <v>4.9000000000000004</v>
      </c>
      <c r="I26" s="183">
        <v>4.7</v>
      </c>
      <c r="J26" s="396">
        <v>4.7</v>
      </c>
      <c r="K26" s="586">
        <f t="shared" si="5"/>
        <v>0</v>
      </c>
      <c r="L26" s="26">
        <f t="shared" si="6"/>
        <v>-0.20000000000000018</v>
      </c>
      <c r="N26" s="9">
        <f>RANK(F26,F8:F32,0)</f>
        <v>3</v>
      </c>
      <c r="O26" s="9">
        <f>RANK(F26,F8:F32,1)</f>
        <v>23</v>
      </c>
      <c r="Q26" s="869">
        <f>RANK(F27,$F$8:$F$32,1)+COUNTIF($F$8:F27,F27)-1</f>
        <v>8</v>
      </c>
      <c r="R26" s="873" t="str">
        <f>INDEX(B7:L32,MATCH(1,Q7:Q32,0),1)</f>
        <v>przemyski</v>
      </c>
      <c r="S26" s="869" t="e">
        <f t="shared" si="2"/>
        <v>#N/A</v>
      </c>
    </row>
    <row r="27" spans="2:19" x14ac:dyDescent="0.25">
      <c r="B27" s="17" t="s">
        <v>34</v>
      </c>
      <c r="C27" s="292">
        <v>3233</v>
      </c>
      <c r="D27" s="13">
        <v>3266</v>
      </c>
      <c r="E27" s="33">
        <v>3020</v>
      </c>
      <c r="F27" s="863">
        <f t="shared" si="3"/>
        <v>-246</v>
      </c>
      <c r="G27" s="15">
        <f t="shared" si="4"/>
        <v>-213</v>
      </c>
      <c r="H27" s="332">
        <v>17.8</v>
      </c>
      <c r="I27" s="183">
        <v>18</v>
      </c>
      <c r="J27" s="396">
        <v>16.8</v>
      </c>
      <c r="K27" s="586">
        <f t="shared" si="5"/>
        <v>-1.1999999999999993</v>
      </c>
      <c r="L27" s="26">
        <f t="shared" si="6"/>
        <v>-1</v>
      </c>
      <c r="N27" s="9">
        <f>RANK(F27,F8:F32,0)</f>
        <v>18</v>
      </c>
      <c r="O27" s="9">
        <f>RANK(F27,F8:F32,1)</f>
        <v>8</v>
      </c>
      <c r="Q27" s="869">
        <f>RANK(F28,$F$8:$F$32,1)+COUNTIF($F$8:F28,F28)-1</f>
        <v>16</v>
      </c>
      <c r="R27" s="873" t="str">
        <f>INDEX(B7:L32,MATCH(1,Q7:Q32,0),1)</f>
        <v>przemyski</v>
      </c>
      <c r="S27" s="869" t="e">
        <f t="shared" si="2"/>
        <v>#N/A</v>
      </c>
    </row>
    <row r="28" spans="2:19" x14ac:dyDescent="0.25">
      <c r="B28" s="17" t="s">
        <v>35</v>
      </c>
      <c r="C28" s="292">
        <v>1407</v>
      </c>
      <c r="D28" s="13">
        <v>1284</v>
      </c>
      <c r="E28" s="33">
        <v>1209</v>
      </c>
      <c r="F28" s="863">
        <f t="shared" si="3"/>
        <v>-75</v>
      </c>
      <c r="G28" s="15">
        <f t="shared" si="4"/>
        <v>-198</v>
      </c>
      <c r="H28" s="332">
        <v>7.9</v>
      </c>
      <c r="I28" s="183">
        <v>7.3</v>
      </c>
      <c r="J28" s="396">
        <v>6.9</v>
      </c>
      <c r="K28" s="586">
        <f t="shared" si="5"/>
        <v>-0.39999999999999947</v>
      </c>
      <c r="L28" s="26">
        <f t="shared" si="6"/>
        <v>-1</v>
      </c>
      <c r="N28" s="9">
        <f>RANK(F28,F8:F32,0)</f>
        <v>10</v>
      </c>
      <c r="O28" s="9">
        <f>RANK(F28,F8:F32,1)</f>
        <v>16</v>
      </c>
      <c r="Q28" s="869">
        <f>RANK(F29,$F$8:$F$32,1)+COUNTIF($F$8:F29,F29)-1</f>
        <v>22</v>
      </c>
      <c r="R28" s="873" t="str">
        <f>INDEX(B7:L32,MATCH(1,Q7:Q32,0),1)</f>
        <v>przemyski</v>
      </c>
      <c r="S28" s="869" t="e">
        <f t="shared" si="2"/>
        <v>#N/A</v>
      </c>
    </row>
    <row r="29" spans="2:19" x14ac:dyDescent="0.25">
      <c r="B29" s="17" t="s">
        <v>36</v>
      </c>
      <c r="C29" s="292">
        <v>734</v>
      </c>
      <c r="D29" s="13">
        <v>720</v>
      </c>
      <c r="E29" s="33">
        <v>725</v>
      </c>
      <c r="F29" s="860">
        <f t="shared" si="3"/>
        <v>5</v>
      </c>
      <c r="G29" s="15">
        <f t="shared" si="4"/>
        <v>-9</v>
      </c>
      <c r="H29" s="332">
        <v>2.5</v>
      </c>
      <c r="I29" s="183">
        <v>2.5</v>
      </c>
      <c r="J29" s="396">
        <v>2.5</v>
      </c>
      <c r="K29" s="586">
        <f t="shared" si="5"/>
        <v>0</v>
      </c>
      <c r="L29" s="26">
        <f t="shared" si="6"/>
        <v>0</v>
      </c>
      <c r="N29" s="9">
        <f>RANK(F29,F8:F32,0)</f>
        <v>4</v>
      </c>
      <c r="O29" s="9">
        <f>RANK(F29,F8:F32,1)</f>
        <v>22</v>
      </c>
      <c r="Q29" s="869">
        <f>RANK(F30,$F$8:$F$32,1)+COUNTIF($F$8:F30,F30)-1</f>
        <v>17</v>
      </c>
      <c r="R29" s="873" t="str">
        <f>INDEX(B7:L32,MATCH(1,Q7:Q32,0),1)</f>
        <v>przemyski</v>
      </c>
      <c r="S29" s="869" t="e">
        <f t="shared" si="2"/>
        <v>#N/A</v>
      </c>
    </row>
    <row r="30" spans="2:19" x14ac:dyDescent="0.25">
      <c r="B30" s="17" t="s">
        <v>37</v>
      </c>
      <c r="C30" s="292">
        <v>2593</v>
      </c>
      <c r="D30" s="13">
        <v>2487</v>
      </c>
      <c r="E30" s="33">
        <v>2415</v>
      </c>
      <c r="F30" s="863">
        <f t="shared" si="3"/>
        <v>-72</v>
      </c>
      <c r="G30" s="15">
        <f t="shared" si="4"/>
        <v>-178</v>
      </c>
      <c r="H30" s="332">
        <v>9.8000000000000007</v>
      </c>
      <c r="I30" s="183">
        <v>9.4</v>
      </c>
      <c r="J30" s="396">
        <v>9.1999999999999993</v>
      </c>
      <c r="K30" s="586">
        <f t="shared" si="5"/>
        <v>-0.20000000000000107</v>
      </c>
      <c r="L30" s="26">
        <f t="shared" si="6"/>
        <v>-0.60000000000000142</v>
      </c>
      <c r="N30" s="9">
        <f>RANK(F30,F8:F32,0)</f>
        <v>9</v>
      </c>
      <c r="O30" s="9">
        <f>RANK(F30,F8:F32,1)</f>
        <v>17</v>
      </c>
      <c r="Q30" s="869">
        <f>RANK(F31,$F$8:$F$32,1)+COUNTIF($F$8:F31,F31)-1</f>
        <v>12</v>
      </c>
      <c r="R30" s="873" t="e">
        <f t="shared" ref="R30:R32" si="7">INDEX(B30:L55,MATCH(1,Q30:Q55,0),1)</f>
        <v>#N/A</v>
      </c>
      <c r="S30" s="869" t="e">
        <f t="shared" si="2"/>
        <v>#N/A</v>
      </c>
    </row>
    <row r="31" spans="2:19" x14ac:dyDescent="0.25">
      <c r="B31" s="17" t="s">
        <v>38</v>
      </c>
      <c r="C31" s="292">
        <v>5823</v>
      </c>
      <c r="D31" s="13">
        <v>5452</v>
      </c>
      <c r="E31" s="33">
        <v>5288</v>
      </c>
      <c r="F31" s="863">
        <f t="shared" si="3"/>
        <v>-164</v>
      </c>
      <c r="G31" s="15">
        <f t="shared" si="4"/>
        <v>-535</v>
      </c>
      <c r="H31" s="332">
        <v>4.5</v>
      </c>
      <c r="I31" s="183">
        <v>4.2</v>
      </c>
      <c r="J31" s="396">
        <v>4.0999999999999996</v>
      </c>
      <c r="K31" s="586">
        <f t="shared" si="5"/>
        <v>-0.10000000000000053</v>
      </c>
      <c r="L31" s="26">
        <f t="shared" si="6"/>
        <v>-0.40000000000000036</v>
      </c>
      <c r="N31" s="9">
        <f>RANK(F31,F8:F32,0)</f>
        <v>14</v>
      </c>
      <c r="O31" s="9">
        <f>RANK(F31,F8:F32,1)</f>
        <v>12</v>
      </c>
      <c r="Q31" s="869">
        <f>RANK(F32,$F$8:$F$32,1)+COUNTIF($F$8:F32,F32)-1</f>
        <v>20</v>
      </c>
      <c r="R31" s="873" t="e">
        <f t="shared" si="7"/>
        <v>#N/A</v>
      </c>
      <c r="S31" s="869" t="e">
        <f t="shared" si="2"/>
        <v>#N/A</v>
      </c>
    </row>
    <row r="32" spans="2:19" ht="15.75" thickBot="1" x14ac:dyDescent="0.3">
      <c r="B32" s="18" t="s">
        <v>39</v>
      </c>
      <c r="C32" s="293">
        <v>1193</v>
      </c>
      <c r="D32" s="19">
        <v>1065</v>
      </c>
      <c r="E32" s="36">
        <v>1035</v>
      </c>
      <c r="F32" s="864">
        <f t="shared" si="3"/>
        <v>-30</v>
      </c>
      <c r="G32" s="21">
        <f t="shared" si="4"/>
        <v>-158</v>
      </c>
      <c r="H32" s="330">
        <v>7.5</v>
      </c>
      <c r="I32" s="364">
        <v>6.8</v>
      </c>
      <c r="J32" s="397">
        <v>6.6</v>
      </c>
      <c r="K32" s="588">
        <f t="shared" si="5"/>
        <v>-0.20000000000000018</v>
      </c>
      <c r="L32" s="27">
        <f t="shared" si="6"/>
        <v>-0.90000000000000036</v>
      </c>
      <c r="N32" s="5">
        <f>RANK(F32,F8:F32,0)</f>
        <v>6</v>
      </c>
      <c r="O32" s="5">
        <f>RANK(F32,F8:F32,1)</f>
        <v>20</v>
      </c>
      <c r="Q32" s="869">
        <f>RANK(F33,$F$8:$F$32,1)+COUNTIF($F$8:F33,F33)-1</f>
        <v>21</v>
      </c>
      <c r="R32" s="875" t="e">
        <f t="shared" si="7"/>
        <v>#N/A</v>
      </c>
      <c r="S32" s="869" t="e">
        <f t="shared" si="2"/>
        <v>#N/A</v>
      </c>
    </row>
    <row r="33" spans="2:19" x14ac:dyDescent="0.25">
      <c r="B33" s="50" t="s">
        <v>113</v>
      </c>
      <c r="C33" s="50"/>
      <c r="Q33" s="871"/>
      <c r="R33" s="871"/>
      <c r="S33" s="872" t="e">
        <f>SUM(S8:S32)</f>
        <v>#N/A</v>
      </c>
    </row>
  </sheetData>
  <mergeCells count="3">
    <mergeCell ref="H5:L5"/>
    <mergeCell ref="B5:B6"/>
    <mergeCell ref="C5:G5"/>
  </mergeCells>
  <printOptions horizontalCentered="1"/>
  <pageMargins left="0.78740157480314965" right="0.78740157480314965" top="1.1417322834645669" bottom="0.74803149606299213" header="0.31496062992125984" footer="0.31496062992125984"/>
  <pageSetup paperSize="9" scale="6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0.59999389629810485"/>
    <pageSetUpPr fitToPage="1"/>
  </sheetPr>
  <dimension ref="B2:AG37"/>
  <sheetViews>
    <sheetView zoomScale="90" zoomScaleNormal="90" workbookViewId="0">
      <selection activeCell="B1" sqref="B1"/>
    </sheetView>
  </sheetViews>
  <sheetFormatPr defaultColWidth="9.140625" defaultRowHeight="15" x14ac:dyDescent="0.25"/>
  <cols>
    <col min="1" max="1" width="4.140625" style="78" customWidth="1"/>
    <col min="2" max="2" width="22" style="78" customWidth="1"/>
    <col min="3" max="3" width="10.28515625" style="78" customWidth="1"/>
    <col min="4" max="4" width="13.85546875" style="78" customWidth="1"/>
    <col min="5" max="5" width="11.140625" style="78" customWidth="1"/>
    <col min="6" max="6" width="13.7109375" style="78" customWidth="1"/>
    <col min="7" max="7" width="10" style="78" customWidth="1"/>
    <col min="8" max="8" width="13.7109375" style="78" customWidth="1"/>
    <col min="9" max="9" width="12.140625" style="78" customWidth="1"/>
    <col min="10" max="10" width="12.28515625" style="78" customWidth="1"/>
    <col min="11" max="11" width="10.5703125" style="78" customWidth="1"/>
    <col min="12" max="12" width="14" style="78" customWidth="1"/>
    <col min="13" max="13" width="11.5703125" style="78" customWidth="1"/>
    <col min="14" max="14" width="13.42578125" style="78" customWidth="1"/>
    <col min="15" max="15" width="8.85546875" style="78" customWidth="1"/>
    <col min="16" max="16" width="14" style="78" customWidth="1"/>
    <col min="17" max="17" width="12" style="78" customWidth="1"/>
    <col min="18" max="18" width="14.28515625" style="78" customWidth="1"/>
    <col min="19" max="19" width="2.85546875" style="78" customWidth="1"/>
    <col min="20" max="20" width="8.28515625" style="78" customWidth="1"/>
    <col min="21" max="21" width="9.42578125" style="78" customWidth="1"/>
    <col min="22" max="26" width="9.140625" style="78"/>
    <col min="27" max="27" width="8" style="78" customWidth="1"/>
    <col min="28" max="16384" width="9.140625" style="78"/>
  </cols>
  <sheetData>
    <row r="2" spans="2:33" ht="14.45" x14ac:dyDescent="0.3">
      <c r="B2" s="11" t="s">
        <v>380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2:33" x14ac:dyDescent="0.25">
      <c r="B3" s="11" t="s">
        <v>348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2:33" x14ac:dyDescent="0.25">
      <c r="B4" s="11" t="s">
        <v>335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2:33" thickBot="1" x14ac:dyDescent="0.35">
      <c r="B5" s="11"/>
      <c r="C5" s="1032"/>
      <c r="D5" s="1032"/>
      <c r="E5" s="1032"/>
      <c r="F5" s="1032"/>
      <c r="G5" s="1033"/>
      <c r="H5" s="1033"/>
      <c r="I5" s="1033"/>
      <c r="J5" s="197"/>
      <c r="K5" s="11"/>
      <c r="L5" s="11"/>
      <c r="M5" s="11"/>
      <c r="N5" s="11"/>
      <c r="O5" s="11"/>
      <c r="P5" s="11"/>
      <c r="Q5" s="11"/>
      <c r="R5" s="11"/>
    </row>
    <row r="6" spans="2:33" x14ac:dyDescent="0.25">
      <c r="B6" s="899" t="s">
        <v>108</v>
      </c>
      <c r="C6" s="957" t="s">
        <v>418</v>
      </c>
      <c r="D6" s="958"/>
      <c r="E6" s="958"/>
      <c r="F6" s="1026"/>
      <c r="G6" s="934" t="s">
        <v>489</v>
      </c>
      <c r="H6" s="935"/>
      <c r="I6" s="935"/>
      <c r="J6" s="936"/>
      <c r="K6" s="934" t="s">
        <v>112</v>
      </c>
      <c r="L6" s="935"/>
      <c r="M6" s="935"/>
      <c r="N6" s="936"/>
      <c r="O6" s="934" t="s">
        <v>431</v>
      </c>
      <c r="P6" s="935"/>
      <c r="Q6" s="935"/>
      <c r="R6" s="936"/>
    </row>
    <row r="7" spans="2:33" x14ac:dyDescent="0.25">
      <c r="B7" s="907"/>
      <c r="C7" s="999" t="s">
        <v>4</v>
      </c>
      <c r="D7" s="996" t="s">
        <v>49</v>
      </c>
      <c r="E7" s="996"/>
      <c r="F7" s="937" t="s">
        <v>301</v>
      </c>
      <c r="G7" s="892" t="s">
        <v>4</v>
      </c>
      <c r="H7" s="1005" t="s">
        <v>49</v>
      </c>
      <c r="I7" s="1028"/>
      <c r="J7" s="1029" t="s">
        <v>301</v>
      </c>
      <c r="K7" s="999" t="s">
        <v>164</v>
      </c>
      <c r="L7" s="996" t="s">
        <v>49</v>
      </c>
      <c r="M7" s="996"/>
      <c r="N7" s="937" t="s">
        <v>302</v>
      </c>
      <c r="O7" s="999" t="s">
        <v>164</v>
      </c>
      <c r="P7" s="996" t="s">
        <v>49</v>
      </c>
      <c r="Q7" s="996"/>
      <c r="R7" s="895" t="s">
        <v>302</v>
      </c>
    </row>
    <row r="8" spans="2:33" ht="75.75" customHeight="1" thickBot="1" x14ac:dyDescent="0.3">
      <c r="B8" s="900"/>
      <c r="C8" s="990"/>
      <c r="D8" s="540" t="s">
        <v>47</v>
      </c>
      <c r="E8" s="540" t="s">
        <v>48</v>
      </c>
      <c r="F8" s="1031"/>
      <c r="G8" s="1027"/>
      <c r="H8" s="698" t="s">
        <v>47</v>
      </c>
      <c r="I8" s="698" t="s">
        <v>48</v>
      </c>
      <c r="J8" s="1030"/>
      <c r="K8" s="990"/>
      <c r="L8" s="540" t="s">
        <v>47</v>
      </c>
      <c r="M8" s="540" t="s">
        <v>48</v>
      </c>
      <c r="N8" s="1031"/>
      <c r="O8" s="990"/>
      <c r="P8" s="540" t="s">
        <v>47</v>
      </c>
      <c r="Q8" s="540" t="s">
        <v>48</v>
      </c>
      <c r="R8" s="992"/>
      <c r="T8" s="96" t="s">
        <v>521</v>
      </c>
      <c r="U8" s="96">
        <v>1</v>
      </c>
      <c r="V8" s="96">
        <v>2</v>
      </c>
      <c r="W8" s="96">
        <v>3</v>
      </c>
      <c r="X8" s="96">
        <v>4</v>
      </c>
      <c r="Y8" s="96">
        <v>5</v>
      </c>
      <c r="Z8" s="96">
        <v>6</v>
      </c>
      <c r="AA8" s="96" t="s">
        <v>432</v>
      </c>
      <c r="AB8" s="96">
        <v>1</v>
      </c>
      <c r="AC8" s="96">
        <v>2</v>
      </c>
      <c r="AD8" s="96">
        <v>3</v>
      </c>
      <c r="AE8" s="96">
        <v>4</v>
      </c>
      <c r="AF8" s="96">
        <v>5</v>
      </c>
      <c r="AG8" s="96">
        <v>6</v>
      </c>
    </row>
    <row r="9" spans="2:33" ht="27" customHeight="1" thickBot="1" x14ac:dyDescent="0.3">
      <c r="B9" s="170" t="s">
        <v>14</v>
      </c>
      <c r="C9" s="24">
        <f>SUM(C10:C34)</f>
        <v>27664</v>
      </c>
      <c r="D9" s="25">
        <f>SUM(D10:D34)</f>
        <v>11166</v>
      </c>
      <c r="E9" s="25">
        <f>SUM(E10:E34)</f>
        <v>4110</v>
      </c>
      <c r="F9" s="348">
        <f>SUM(AA9/C9)</f>
        <v>16.248120300751879</v>
      </c>
      <c r="G9" s="234">
        <f>SUM(G10:G34)</f>
        <v>23753</v>
      </c>
      <c r="H9" s="235">
        <f>SUM(H10:H34)</f>
        <v>10020</v>
      </c>
      <c r="I9" s="235">
        <f>SUM(I10:I34)</f>
        <v>4143</v>
      </c>
      <c r="J9" s="351">
        <f>SUM(T9)/G9</f>
        <v>17.502126047236139</v>
      </c>
      <c r="K9" s="24">
        <f>SUM(K10:K34)</f>
        <v>-3911</v>
      </c>
      <c r="L9" s="25">
        <f>SUM(L10:L34)</f>
        <v>-1146</v>
      </c>
      <c r="M9" s="25">
        <f>SUM(M10:M34)</f>
        <v>33</v>
      </c>
      <c r="N9" s="348">
        <f>J9-F9</f>
        <v>1.2540057464842604</v>
      </c>
      <c r="O9" s="236">
        <f>SUM(K9)/C9*100</f>
        <v>-14.137507229612492</v>
      </c>
      <c r="P9" s="237">
        <f>SUM(L9)/D9*100</f>
        <v>-10.263299301450832</v>
      </c>
      <c r="Q9" s="237">
        <f>SUM(M9)/E9*100</f>
        <v>0.8029197080291971</v>
      </c>
      <c r="R9" s="238">
        <f>N9/F9*100</f>
        <v>7.7178511930775864</v>
      </c>
      <c r="T9" s="14">
        <f>SUM(U9:Z9)</f>
        <v>415728</v>
      </c>
      <c r="U9" s="14">
        <f t="shared" ref="U9:Z9" si="0">SUM(U10:U34)</f>
        <v>72274</v>
      </c>
      <c r="V9" s="14">
        <f t="shared" si="0"/>
        <v>72068</v>
      </c>
      <c r="W9" s="14">
        <f t="shared" si="0"/>
        <v>70333</v>
      </c>
      <c r="X9" s="14">
        <f t="shared" si="0"/>
        <v>68791</v>
      </c>
      <c r="Y9" s="14">
        <f t="shared" si="0"/>
        <v>67198</v>
      </c>
      <c r="Z9" s="14">
        <f t="shared" si="0"/>
        <v>65064</v>
      </c>
      <c r="AA9" s="14">
        <f>SUM(AB9:AG9)</f>
        <v>449488</v>
      </c>
      <c r="AB9" s="14">
        <f t="shared" ref="AB9:AG9" si="1">SUM(AB10:AB34)</f>
        <v>79529</v>
      </c>
      <c r="AC9" s="14">
        <f t="shared" si="1"/>
        <v>78858</v>
      </c>
      <c r="AD9" s="14">
        <f t="shared" si="1"/>
        <v>76716</v>
      </c>
      <c r="AE9" s="14">
        <f t="shared" si="1"/>
        <v>74030</v>
      </c>
      <c r="AF9" s="14">
        <f t="shared" si="1"/>
        <v>71339</v>
      </c>
      <c r="AG9" s="14">
        <f t="shared" si="1"/>
        <v>69016</v>
      </c>
    </row>
    <row r="10" spans="2:33" x14ac:dyDescent="0.25">
      <c r="B10" s="172" t="s">
        <v>15</v>
      </c>
      <c r="C10" s="37">
        <v>299</v>
      </c>
      <c r="D10" s="114">
        <v>217</v>
      </c>
      <c r="E10" s="114">
        <v>64</v>
      </c>
      <c r="F10" s="329">
        <f>SUM(AA10/C10)</f>
        <v>22.839464882943144</v>
      </c>
      <c r="G10" s="37">
        <f>SUM(T.XX!C10)</f>
        <v>300</v>
      </c>
      <c r="H10" s="114">
        <f>SUM(T.XX!D10)</f>
        <v>249</v>
      </c>
      <c r="I10" s="114">
        <f>SUM(T.XX!E10)</f>
        <v>85</v>
      </c>
      <c r="J10" s="329">
        <f>SUM(T10)/G10</f>
        <v>22.063333333333333</v>
      </c>
      <c r="K10" s="37">
        <f>SUM(G10)-C10</f>
        <v>1</v>
      </c>
      <c r="L10" s="114">
        <f t="shared" ref="L10:L34" si="2">SUM(H10)-D10</f>
        <v>32</v>
      </c>
      <c r="M10" s="114">
        <f t="shared" ref="M10:M34" si="3">SUM(I10)-E10</f>
        <v>21</v>
      </c>
      <c r="N10" s="329">
        <f>J10-F10</f>
        <v>-0.77613154960981134</v>
      </c>
      <c r="O10" s="232">
        <f>SUM(K10)/C10*100</f>
        <v>0.33444816053511706</v>
      </c>
      <c r="P10" s="233">
        <f t="shared" ref="P10:P34" si="4">SUM(L10)/D10*100</f>
        <v>14.746543778801843</v>
      </c>
      <c r="Q10" s="233">
        <f t="shared" ref="Q10:Q34" si="5">SUM(M10)/E10*100</f>
        <v>32.8125</v>
      </c>
      <c r="R10" s="38">
        <f>N10/F10*100</f>
        <v>-3.3982037389564153</v>
      </c>
      <c r="T10" s="14">
        <f t="shared" ref="T10:T34" si="6">SUM(U10:Z10)</f>
        <v>6619</v>
      </c>
      <c r="U10" s="780">
        <v>1175</v>
      </c>
      <c r="V10" s="780">
        <v>1168</v>
      </c>
      <c r="W10" s="780">
        <v>1142</v>
      </c>
      <c r="X10" s="780">
        <v>1091</v>
      </c>
      <c r="Y10" s="780">
        <v>1059</v>
      </c>
      <c r="Z10" s="780">
        <v>984</v>
      </c>
      <c r="AA10" s="14">
        <f t="shared" ref="AA10:AA34" si="7">SUM(AB10:AG10)</f>
        <v>6829</v>
      </c>
      <c r="AB10" s="780">
        <v>1225</v>
      </c>
      <c r="AC10" s="780">
        <v>1190</v>
      </c>
      <c r="AD10" s="780">
        <v>1180</v>
      </c>
      <c r="AE10" s="780">
        <v>1138</v>
      </c>
      <c r="AF10" s="780">
        <v>1063</v>
      </c>
      <c r="AG10" s="780">
        <v>1033</v>
      </c>
    </row>
    <row r="11" spans="2:33" x14ac:dyDescent="0.25">
      <c r="B11" s="177" t="s">
        <v>16</v>
      </c>
      <c r="C11" s="13">
        <v>462</v>
      </c>
      <c r="D11" s="14">
        <v>417</v>
      </c>
      <c r="E11" s="14">
        <v>142</v>
      </c>
      <c r="F11" s="332">
        <f t="shared" ref="F11:F34" si="8">SUM(AA11/C11)</f>
        <v>53.876623376623378</v>
      </c>
      <c r="G11" s="13">
        <f>SUM(T.XX!C11)</f>
        <v>421</v>
      </c>
      <c r="H11" s="14">
        <f>SUM(T.XX!D11)</f>
        <v>384</v>
      </c>
      <c r="I11" s="14">
        <f>SUM(T.XX!E11)</f>
        <v>101</v>
      </c>
      <c r="J11" s="332">
        <f t="shared" ref="J11:J34" si="9">SUM(T11)/G11</f>
        <v>55.289786223277908</v>
      </c>
      <c r="K11" s="13">
        <f t="shared" ref="K11:K34" si="10">SUM(G11)-C11</f>
        <v>-41</v>
      </c>
      <c r="L11" s="14">
        <f t="shared" si="2"/>
        <v>-33</v>
      </c>
      <c r="M11" s="14">
        <f t="shared" si="3"/>
        <v>-41</v>
      </c>
      <c r="N11" s="333">
        <f t="shared" ref="N11:N34" si="11">J11-F11</f>
        <v>1.4131628466545294</v>
      </c>
      <c r="O11" s="183">
        <f t="shared" ref="O11:O34" si="12">SUM(K11)/C11*100</f>
        <v>-8.8744588744588757</v>
      </c>
      <c r="P11" s="90">
        <f t="shared" si="4"/>
        <v>-7.9136690647482011</v>
      </c>
      <c r="Q11" s="90">
        <f t="shared" si="5"/>
        <v>-28.87323943661972</v>
      </c>
      <c r="R11" s="32">
        <f t="shared" ref="R11:R34" si="13">N11/F11*100</f>
        <v>2.6229610507990544</v>
      </c>
      <c r="T11" s="14">
        <f t="shared" si="6"/>
        <v>23277</v>
      </c>
      <c r="U11" s="780">
        <v>4136</v>
      </c>
      <c r="V11" s="780">
        <v>4127</v>
      </c>
      <c r="W11" s="780">
        <v>3977</v>
      </c>
      <c r="X11" s="780">
        <v>3809</v>
      </c>
      <c r="Y11" s="780">
        <v>3667</v>
      </c>
      <c r="Z11" s="780">
        <v>3561</v>
      </c>
      <c r="AA11" s="14">
        <f t="shared" si="7"/>
        <v>24891</v>
      </c>
      <c r="AB11" s="780">
        <v>4413</v>
      </c>
      <c r="AC11" s="780">
        <v>4329</v>
      </c>
      <c r="AD11" s="780">
        <v>4175</v>
      </c>
      <c r="AE11" s="780">
        <v>4075</v>
      </c>
      <c r="AF11" s="780">
        <v>3995</v>
      </c>
      <c r="AG11" s="780">
        <v>3904</v>
      </c>
    </row>
    <row r="12" spans="2:33" x14ac:dyDescent="0.25">
      <c r="B12" s="177" t="s">
        <v>17</v>
      </c>
      <c r="C12" s="13">
        <v>2304</v>
      </c>
      <c r="D12" s="14">
        <v>379</v>
      </c>
      <c r="E12" s="14">
        <v>124</v>
      </c>
      <c r="F12" s="332">
        <f t="shared" si="8"/>
        <v>6.8077256944444446</v>
      </c>
      <c r="G12" s="13">
        <f>SUM(T.XX!C12)</f>
        <v>1536</v>
      </c>
      <c r="H12" s="14">
        <f>SUM(T.XX!D12)</f>
        <v>348</v>
      </c>
      <c r="I12" s="14">
        <f>SUM(T.XX!E12)</f>
        <v>118</v>
      </c>
      <c r="J12" s="781">
        <f>SUM(T12)/G12</f>
        <v>9.8001302083333339</v>
      </c>
      <c r="K12" s="13">
        <f t="shared" si="10"/>
        <v>-768</v>
      </c>
      <c r="L12" s="14">
        <f t="shared" si="2"/>
        <v>-31</v>
      </c>
      <c r="M12" s="14">
        <f t="shared" si="3"/>
        <v>-6</v>
      </c>
      <c r="N12" s="333">
        <f t="shared" si="11"/>
        <v>2.9924045138888893</v>
      </c>
      <c r="O12" s="183">
        <f t="shared" si="12"/>
        <v>-33.333333333333329</v>
      </c>
      <c r="P12" s="90">
        <f t="shared" si="4"/>
        <v>-8.1794195250659634</v>
      </c>
      <c r="Q12" s="90">
        <f t="shared" si="5"/>
        <v>-4.838709677419355</v>
      </c>
      <c r="R12" s="32">
        <f t="shared" si="13"/>
        <v>43.956008925725222</v>
      </c>
      <c r="T12" s="14">
        <f t="shared" si="6"/>
        <v>15053</v>
      </c>
      <c r="U12" s="780">
        <v>2606</v>
      </c>
      <c r="V12" s="780">
        <v>2632</v>
      </c>
      <c r="W12" s="780">
        <v>2536</v>
      </c>
      <c r="X12" s="780">
        <v>2452</v>
      </c>
      <c r="Y12" s="780">
        <v>2434</v>
      </c>
      <c r="Z12" s="780">
        <v>2393</v>
      </c>
      <c r="AA12" s="14">
        <f t="shared" si="7"/>
        <v>15685</v>
      </c>
      <c r="AB12" s="780">
        <v>2795</v>
      </c>
      <c r="AC12" s="780">
        <v>2782</v>
      </c>
      <c r="AD12" s="780">
        <v>2666</v>
      </c>
      <c r="AE12" s="780">
        <v>2583</v>
      </c>
      <c r="AF12" s="780">
        <v>2465</v>
      </c>
      <c r="AG12" s="780">
        <v>2394</v>
      </c>
    </row>
    <row r="13" spans="2:33" x14ac:dyDescent="0.25">
      <c r="B13" s="177" t="s">
        <v>18</v>
      </c>
      <c r="C13" s="13">
        <v>1472</v>
      </c>
      <c r="D13" s="14">
        <v>921</v>
      </c>
      <c r="E13" s="14">
        <v>274</v>
      </c>
      <c r="F13" s="332">
        <f t="shared" si="8"/>
        <v>20.947690217391305</v>
      </c>
      <c r="G13" s="13">
        <f>SUM(T.XX!C13)</f>
        <v>1497</v>
      </c>
      <c r="H13" s="14">
        <f>SUM(T.XX!D13)</f>
        <v>732</v>
      </c>
      <c r="I13" s="14">
        <f>SUM(T.XX!E13)</f>
        <v>240</v>
      </c>
      <c r="J13" s="332">
        <f t="shared" si="9"/>
        <v>18.434201736806948</v>
      </c>
      <c r="K13" s="13">
        <f t="shared" si="10"/>
        <v>25</v>
      </c>
      <c r="L13" s="14">
        <f t="shared" si="2"/>
        <v>-189</v>
      </c>
      <c r="M13" s="14">
        <f t="shared" si="3"/>
        <v>-34</v>
      </c>
      <c r="N13" s="333">
        <f t="shared" si="11"/>
        <v>-2.5134884805843569</v>
      </c>
      <c r="O13" s="183">
        <f t="shared" si="12"/>
        <v>1.6983695652173911</v>
      </c>
      <c r="P13" s="90">
        <f t="shared" si="4"/>
        <v>-20.521172638436482</v>
      </c>
      <c r="Q13" s="90">
        <f t="shared" si="5"/>
        <v>-12.408759124087592</v>
      </c>
      <c r="R13" s="32">
        <f t="shared" si="13"/>
        <v>-11.998881282374487</v>
      </c>
      <c r="T13" s="14">
        <f t="shared" si="6"/>
        <v>27596</v>
      </c>
      <c r="U13" s="780">
        <v>4850</v>
      </c>
      <c r="V13" s="780">
        <v>4843</v>
      </c>
      <c r="W13" s="780">
        <v>4626</v>
      </c>
      <c r="X13" s="780">
        <v>4555</v>
      </c>
      <c r="Y13" s="780">
        <v>4474</v>
      </c>
      <c r="Z13" s="780">
        <v>4248</v>
      </c>
      <c r="AA13" s="14">
        <f>SUM(AB13:AG13)</f>
        <v>30835</v>
      </c>
      <c r="AB13" s="780">
        <v>5559</v>
      </c>
      <c r="AC13" s="780">
        <v>5513</v>
      </c>
      <c r="AD13" s="780">
        <v>5247</v>
      </c>
      <c r="AE13" s="780">
        <v>5026</v>
      </c>
      <c r="AF13" s="780">
        <v>4844</v>
      </c>
      <c r="AG13" s="780">
        <v>4646</v>
      </c>
    </row>
    <row r="14" spans="2:33" x14ac:dyDescent="0.25">
      <c r="B14" s="177" t="s">
        <v>19</v>
      </c>
      <c r="C14" s="13">
        <v>1276</v>
      </c>
      <c r="D14" s="14">
        <v>674</v>
      </c>
      <c r="E14" s="14">
        <v>198</v>
      </c>
      <c r="F14" s="332">
        <f t="shared" si="8"/>
        <v>24.460815047021942</v>
      </c>
      <c r="G14" s="13">
        <f>SUM(T.XX!C14)</f>
        <v>1301</v>
      </c>
      <c r="H14" s="14">
        <f>SUM(T.XX!D14)</f>
        <v>605</v>
      </c>
      <c r="I14" s="14">
        <f>SUM(T.XX!E14)</f>
        <v>192</v>
      </c>
      <c r="J14" s="332">
        <f t="shared" si="9"/>
        <v>22.887778631821675</v>
      </c>
      <c r="K14" s="13">
        <f t="shared" si="10"/>
        <v>25</v>
      </c>
      <c r="L14" s="14">
        <f t="shared" si="2"/>
        <v>-69</v>
      </c>
      <c r="M14" s="14">
        <f t="shared" si="3"/>
        <v>-6</v>
      </c>
      <c r="N14" s="333">
        <f t="shared" si="11"/>
        <v>-1.5730364152002672</v>
      </c>
      <c r="O14" s="183">
        <f t="shared" si="12"/>
        <v>1.9592476489028214</v>
      </c>
      <c r="P14" s="90">
        <f t="shared" si="4"/>
        <v>-10.237388724035608</v>
      </c>
      <c r="Q14" s="90">
        <f t="shared" si="5"/>
        <v>-3.0303030303030303</v>
      </c>
      <c r="R14" s="32">
        <f t="shared" si="13"/>
        <v>-6.4308421946544305</v>
      </c>
      <c r="T14" s="14">
        <f>SUM(U14:Z14)</f>
        <v>29777</v>
      </c>
      <c r="U14" s="780">
        <v>5153</v>
      </c>
      <c r="V14" s="780">
        <v>5156</v>
      </c>
      <c r="W14" s="780">
        <v>5052</v>
      </c>
      <c r="X14" s="780">
        <v>4936</v>
      </c>
      <c r="Y14" s="780">
        <v>4794</v>
      </c>
      <c r="Z14" s="780">
        <v>4686</v>
      </c>
      <c r="AA14" s="14">
        <f t="shared" si="7"/>
        <v>31212</v>
      </c>
      <c r="AB14" s="780">
        <v>5537</v>
      </c>
      <c r="AC14" s="780">
        <v>5495</v>
      </c>
      <c r="AD14" s="780">
        <v>5349</v>
      </c>
      <c r="AE14" s="780">
        <v>5153</v>
      </c>
      <c r="AF14" s="780">
        <v>4908</v>
      </c>
      <c r="AG14" s="780">
        <v>4770</v>
      </c>
    </row>
    <row r="15" spans="2:33" x14ac:dyDescent="0.25">
      <c r="B15" s="177" t="s">
        <v>20</v>
      </c>
      <c r="C15" s="13">
        <v>709</v>
      </c>
      <c r="D15" s="14">
        <v>319</v>
      </c>
      <c r="E15" s="14">
        <v>75</v>
      </c>
      <c r="F15" s="332">
        <f t="shared" si="8"/>
        <v>14.820874471086036</v>
      </c>
      <c r="G15" s="13">
        <f>SUM(T.XX!C15)</f>
        <v>608</v>
      </c>
      <c r="H15" s="14">
        <f>SUM(T.XX!D15)</f>
        <v>274</v>
      </c>
      <c r="I15" s="14">
        <f>SUM(T.XX!E15)</f>
        <v>79</v>
      </c>
      <c r="J15" s="332">
        <f t="shared" si="9"/>
        <v>16.080592105263158</v>
      </c>
      <c r="K15" s="13">
        <f t="shared" si="10"/>
        <v>-101</v>
      </c>
      <c r="L15" s="14">
        <f t="shared" si="2"/>
        <v>-45</v>
      </c>
      <c r="M15" s="14">
        <f t="shared" si="3"/>
        <v>4</v>
      </c>
      <c r="N15" s="333">
        <f t="shared" si="11"/>
        <v>1.2597176341771217</v>
      </c>
      <c r="O15" s="183">
        <f t="shared" si="12"/>
        <v>-14.245416078984485</v>
      </c>
      <c r="P15" s="90">
        <f t="shared" si="4"/>
        <v>-14.106583072100312</v>
      </c>
      <c r="Q15" s="90">
        <f t="shared" si="5"/>
        <v>5.3333333333333339</v>
      </c>
      <c r="R15" s="32">
        <f t="shared" si="13"/>
        <v>8.4996174593793228</v>
      </c>
      <c r="T15" s="14">
        <f t="shared" si="6"/>
        <v>9777</v>
      </c>
      <c r="U15" s="780">
        <v>1678</v>
      </c>
      <c r="V15" s="780">
        <v>1710</v>
      </c>
      <c r="W15" s="780">
        <v>1672</v>
      </c>
      <c r="X15" s="780">
        <v>1617</v>
      </c>
      <c r="Y15" s="780">
        <v>1581</v>
      </c>
      <c r="Z15" s="780">
        <v>1519</v>
      </c>
      <c r="AA15" s="14">
        <f t="shared" si="7"/>
        <v>10508</v>
      </c>
      <c r="AB15" s="780">
        <v>1807</v>
      </c>
      <c r="AC15" s="780">
        <v>1845</v>
      </c>
      <c r="AD15" s="780">
        <v>1827</v>
      </c>
      <c r="AE15" s="780">
        <v>1751</v>
      </c>
      <c r="AF15" s="780">
        <v>1657</v>
      </c>
      <c r="AG15" s="780">
        <v>1621</v>
      </c>
    </row>
    <row r="16" spans="2:33" x14ac:dyDescent="0.25">
      <c r="B16" s="177" t="s">
        <v>21</v>
      </c>
      <c r="C16" s="13">
        <v>530</v>
      </c>
      <c r="D16" s="14">
        <v>221</v>
      </c>
      <c r="E16" s="14">
        <v>58</v>
      </c>
      <c r="F16" s="332">
        <f t="shared" si="8"/>
        <v>22.735849056603772</v>
      </c>
      <c r="G16" s="13">
        <f>SUM(T.XX!C16)</f>
        <v>455</v>
      </c>
      <c r="H16" s="14">
        <f>SUM(T.XX!D16)</f>
        <v>157</v>
      </c>
      <c r="I16" s="14">
        <f>SUM(T.XX!E16)</f>
        <v>73</v>
      </c>
      <c r="J16" s="332">
        <f t="shared" si="9"/>
        <v>28.652747252747254</v>
      </c>
      <c r="K16" s="13">
        <f t="shared" si="10"/>
        <v>-75</v>
      </c>
      <c r="L16" s="14">
        <f t="shared" si="2"/>
        <v>-64</v>
      </c>
      <c r="M16" s="14">
        <f t="shared" si="3"/>
        <v>15</v>
      </c>
      <c r="N16" s="333">
        <f t="shared" si="11"/>
        <v>5.9168981961434817</v>
      </c>
      <c r="O16" s="183">
        <f t="shared" si="12"/>
        <v>-14.150943396226415</v>
      </c>
      <c r="P16" s="90">
        <f t="shared" si="4"/>
        <v>-28.959276018099551</v>
      </c>
      <c r="Q16" s="90">
        <f t="shared" si="5"/>
        <v>25.862068965517242</v>
      </c>
      <c r="R16" s="32">
        <f t="shared" si="13"/>
        <v>26.024531485112412</v>
      </c>
      <c r="T16" s="14">
        <f t="shared" si="6"/>
        <v>13037</v>
      </c>
      <c r="U16" s="780">
        <v>2175</v>
      </c>
      <c r="V16" s="780">
        <v>2228</v>
      </c>
      <c r="W16" s="780">
        <v>2239</v>
      </c>
      <c r="X16" s="780">
        <v>2194</v>
      </c>
      <c r="Y16" s="780">
        <v>2125</v>
      </c>
      <c r="Z16" s="780">
        <v>2076</v>
      </c>
      <c r="AA16" s="14">
        <f t="shared" si="7"/>
        <v>12050</v>
      </c>
      <c r="AB16" s="780">
        <v>2120</v>
      </c>
      <c r="AC16" s="780">
        <v>2129</v>
      </c>
      <c r="AD16" s="780">
        <v>2077</v>
      </c>
      <c r="AE16" s="780">
        <v>1983</v>
      </c>
      <c r="AF16" s="780">
        <v>1917</v>
      </c>
      <c r="AG16" s="780">
        <v>1824</v>
      </c>
    </row>
    <row r="17" spans="2:33" x14ac:dyDescent="0.25">
      <c r="B17" s="177" t="s">
        <v>22</v>
      </c>
      <c r="C17" s="13">
        <v>312</v>
      </c>
      <c r="D17" s="14">
        <v>147</v>
      </c>
      <c r="E17" s="14">
        <v>42</v>
      </c>
      <c r="F17" s="332">
        <f t="shared" si="8"/>
        <v>32.833333333333336</v>
      </c>
      <c r="G17" s="13">
        <f>SUM(T.XX!C17)</f>
        <v>324</v>
      </c>
      <c r="H17" s="14">
        <f>SUM(T.XX!D17)</f>
        <v>185</v>
      </c>
      <c r="I17" s="14">
        <f>SUM(T.XX!E17)</f>
        <v>69</v>
      </c>
      <c r="J17" s="332">
        <f t="shared" si="9"/>
        <v>32.089506172839506</v>
      </c>
      <c r="K17" s="13">
        <f t="shared" si="10"/>
        <v>12</v>
      </c>
      <c r="L17" s="14">
        <f t="shared" si="2"/>
        <v>38</v>
      </c>
      <c r="M17" s="14">
        <f t="shared" si="3"/>
        <v>27</v>
      </c>
      <c r="N17" s="333">
        <f t="shared" si="11"/>
        <v>-0.74382716049382935</v>
      </c>
      <c r="O17" s="183">
        <f t="shared" si="12"/>
        <v>3.8461538461538463</v>
      </c>
      <c r="P17" s="90">
        <f t="shared" si="4"/>
        <v>25.850340136054424</v>
      </c>
      <c r="Q17" s="90">
        <f t="shared" si="5"/>
        <v>64.285714285714292</v>
      </c>
      <c r="R17" s="32">
        <f t="shared" si="13"/>
        <v>-2.2654634329761296</v>
      </c>
      <c r="T17" s="14">
        <f t="shared" si="6"/>
        <v>10397</v>
      </c>
      <c r="U17" s="780">
        <v>1805</v>
      </c>
      <c r="V17" s="780">
        <v>1813</v>
      </c>
      <c r="W17" s="780">
        <v>1804</v>
      </c>
      <c r="X17" s="780">
        <v>1756</v>
      </c>
      <c r="Y17" s="780">
        <v>1648</v>
      </c>
      <c r="Z17" s="780">
        <v>1571</v>
      </c>
      <c r="AA17" s="14">
        <f t="shared" si="7"/>
        <v>10244</v>
      </c>
      <c r="AB17" s="780">
        <v>1816</v>
      </c>
      <c r="AC17" s="780">
        <v>1773</v>
      </c>
      <c r="AD17" s="780">
        <v>1761</v>
      </c>
      <c r="AE17" s="780">
        <v>1725</v>
      </c>
      <c r="AF17" s="780">
        <v>1609</v>
      </c>
      <c r="AG17" s="780">
        <v>1560</v>
      </c>
    </row>
    <row r="18" spans="2:33" x14ac:dyDescent="0.25">
      <c r="B18" s="177" t="s">
        <v>23</v>
      </c>
      <c r="C18" s="13">
        <v>1024</v>
      </c>
      <c r="D18" s="14">
        <v>429</v>
      </c>
      <c r="E18" s="14">
        <v>119</v>
      </c>
      <c r="F18" s="332">
        <f t="shared" si="8"/>
        <v>20.6904296875</v>
      </c>
      <c r="G18" s="13">
        <f>SUM(T.XX!C18)</f>
        <v>846</v>
      </c>
      <c r="H18" s="14">
        <f>SUM(T.XX!D18)</f>
        <v>547</v>
      </c>
      <c r="I18" s="14">
        <f>SUM(T.XX!E18)</f>
        <v>185</v>
      </c>
      <c r="J18" s="332">
        <f t="shared" si="9"/>
        <v>22.356973995271868</v>
      </c>
      <c r="K18" s="13">
        <f t="shared" si="10"/>
        <v>-178</v>
      </c>
      <c r="L18" s="14">
        <f t="shared" si="2"/>
        <v>118</v>
      </c>
      <c r="M18" s="14">
        <f t="shared" si="3"/>
        <v>66</v>
      </c>
      <c r="N18" s="333">
        <f t="shared" si="11"/>
        <v>1.6665443077718685</v>
      </c>
      <c r="O18" s="183">
        <f t="shared" si="12"/>
        <v>-17.3828125</v>
      </c>
      <c r="P18" s="90">
        <f t="shared" si="4"/>
        <v>27.505827505827508</v>
      </c>
      <c r="Q18" s="90">
        <f t="shared" si="5"/>
        <v>55.462184873949582</v>
      </c>
      <c r="R18" s="32">
        <f t="shared" si="13"/>
        <v>8.0546626287742171</v>
      </c>
      <c r="T18" s="14">
        <f t="shared" si="6"/>
        <v>18914</v>
      </c>
      <c r="U18" s="780">
        <v>3295</v>
      </c>
      <c r="V18" s="780">
        <v>3283</v>
      </c>
      <c r="W18" s="780">
        <v>3199</v>
      </c>
      <c r="X18" s="780">
        <v>3181</v>
      </c>
      <c r="Y18" s="780">
        <v>3058</v>
      </c>
      <c r="Z18" s="780">
        <v>2898</v>
      </c>
      <c r="AA18" s="14">
        <f t="shared" si="7"/>
        <v>21187</v>
      </c>
      <c r="AB18" s="780">
        <v>3754</v>
      </c>
      <c r="AC18" s="780">
        <v>3708</v>
      </c>
      <c r="AD18" s="780">
        <v>3578</v>
      </c>
      <c r="AE18" s="780">
        <v>3473</v>
      </c>
      <c r="AF18" s="780">
        <v>3391</v>
      </c>
      <c r="AG18" s="780">
        <v>3283</v>
      </c>
    </row>
    <row r="19" spans="2:33" x14ac:dyDescent="0.25">
      <c r="B19" s="177" t="s">
        <v>24</v>
      </c>
      <c r="C19" s="13">
        <v>587</v>
      </c>
      <c r="D19" s="14">
        <v>404</v>
      </c>
      <c r="E19" s="14">
        <v>148</v>
      </c>
      <c r="F19" s="332">
        <f t="shared" si="8"/>
        <v>19.660988074957409</v>
      </c>
      <c r="G19" s="13">
        <f>SUM(T.XX!C19)</f>
        <v>541</v>
      </c>
      <c r="H19" s="14">
        <f>SUM(T.XX!D19)</f>
        <v>396</v>
      </c>
      <c r="I19" s="14">
        <f>SUM(T.XX!E19)</f>
        <v>180</v>
      </c>
      <c r="J19" s="332">
        <f t="shared" si="9"/>
        <v>19.996303142329019</v>
      </c>
      <c r="K19" s="13">
        <f t="shared" si="10"/>
        <v>-46</v>
      </c>
      <c r="L19" s="14">
        <f t="shared" si="2"/>
        <v>-8</v>
      </c>
      <c r="M19" s="14">
        <f t="shared" si="3"/>
        <v>32</v>
      </c>
      <c r="N19" s="333">
        <f t="shared" si="11"/>
        <v>0.3353150673716101</v>
      </c>
      <c r="O19" s="183">
        <f t="shared" si="12"/>
        <v>-7.836456558773425</v>
      </c>
      <c r="P19" s="90">
        <f t="shared" si="4"/>
        <v>-1.9801980198019802</v>
      </c>
      <c r="Q19" s="90">
        <f t="shared" si="5"/>
        <v>21.621621621621621</v>
      </c>
      <c r="R19" s="32">
        <f t="shared" si="13"/>
        <v>1.7054843128596755</v>
      </c>
      <c r="T19" s="14">
        <f t="shared" si="6"/>
        <v>10818</v>
      </c>
      <c r="U19" s="780">
        <v>1987</v>
      </c>
      <c r="V19" s="780">
        <v>1954</v>
      </c>
      <c r="W19" s="780">
        <v>1882</v>
      </c>
      <c r="X19" s="780">
        <v>1771</v>
      </c>
      <c r="Y19" s="780">
        <v>1651</v>
      </c>
      <c r="Z19" s="780">
        <v>1573</v>
      </c>
      <c r="AA19" s="14">
        <f t="shared" si="7"/>
        <v>11541</v>
      </c>
      <c r="AB19" s="780">
        <v>2142</v>
      </c>
      <c r="AC19" s="780">
        <v>2087</v>
      </c>
      <c r="AD19" s="780">
        <v>1990</v>
      </c>
      <c r="AE19" s="780">
        <v>1886</v>
      </c>
      <c r="AF19" s="780">
        <v>1767</v>
      </c>
      <c r="AG19" s="780">
        <v>1669</v>
      </c>
    </row>
    <row r="20" spans="2:33" x14ac:dyDescent="0.25">
      <c r="B20" s="177" t="s">
        <v>25</v>
      </c>
      <c r="C20" s="13">
        <v>748</v>
      </c>
      <c r="D20" s="14">
        <v>453</v>
      </c>
      <c r="E20" s="14">
        <v>192</v>
      </c>
      <c r="F20" s="332">
        <f t="shared" si="8"/>
        <v>25.505347593582886</v>
      </c>
      <c r="G20" s="13">
        <f>SUM(T.XX!C20)</f>
        <v>643</v>
      </c>
      <c r="H20" s="14">
        <f>SUM(T.XX!D20)</f>
        <v>427</v>
      </c>
      <c r="I20" s="14">
        <f>SUM(T.XX!E20)</f>
        <v>186</v>
      </c>
      <c r="J20" s="332">
        <f t="shared" si="9"/>
        <v>24.732503888024883</v>
      </c>
      <c r="K20" s="13">
        <f t="shared" si="10"/>
        <v>-105</v>
      </c>
      <c r="L20" s="14">
        <f t="shared" si="2"/>
        <v>-26</v>
      </c>
      <c r="M20" s="14">
        <f t="shared" si="3"/>
        <v>-6</v>
      </c>
      <c r="N20" s="333">
        <f t="shared" si="11"/>
        <v>-0.77284370555800308</v>
      </c>
      <c r="O20" s="183">
        <f t="shared" si="12"/>
        <v>-14.037433155080215</v>
      </c>
      <c r="P20" s="90">
        <f t="shared" si="4"/>
        <v>-5.739514348785872</v>
      </c>
      <c r="Q20" s="90">
        <f t="shared" si="5"/>
        <v>-3.125</v>
      </c>
      <c r="R20" s="32">
        <f t="shared" si="13"/>
        <v>-3.030124183653351</v>
      </c>
      <c r="T20" s="14">
        <f t="shared" si="6"/>
        <v>15903</v>
      </c>
      <c r="U20" s="780">
        <v>2809</v>
      </c>
      <c r="V20" s="780">
        <v>2797</v>
      </c>
      <c r="W20" s="780">
        <v>2671</v>
      </c>
      <c r="X20" s="780">
        <v>2601</v>
      </c>
      <c r="Y20" s="780">
        <v>2549</v>
      </c>
      <c r="Z20" s="780">
        <v>2476</v>
      </c>
      <c r="AA20" s="14">
        <f t="shared" si="7"/>
        <v>19078</v>
      </c>
      <c r="AB20" s="780">
        <v>3400</v>
      </c>
      <c r="AC20" s="780">
        <v>3383</v>
      </c>
      <c r="AD20" s="780">
        <v>3304</v>
      </c>
      <c r="AE20" s="780">
        <v>3143</v>
      </c>
      <c r="AF20" s="780">
        <v>2990</v>
      </c>
      <c r="AG20" s="780">
        <v>2858</v>
      </c>
    </row>
    <row r="21" spans="2:33" x14ac:dyDescent="0.25">
      <c r="B21" s="177" t="s">
        <v>26</v>
      </c>
      <c r="C21" s="13">
        <v>2908</v>
      </c>
      <c r="D21" s="14">
        <v>880</v>
      </c>
      <c r="E21" s="14">
        <v>178</v>
      </c>
      <c r="F21" s="332">
        <f t="shared" si="8"/>
        <v>5.6887895460797795</v>
      </c>
      <c r="G21" s="13">
        <f>SUM(T.XX!C21)</f>
        <v>1749</v>
      </c>
      <c r="H21" s="14">
        <f>SUM(T.XX!D21)</f>
        <v>595</v>
      </c>
      <c r="I21" s="14">
        <f>SUM(T.XX!E21)</f>
        <v>142</v>
      </c>
      <c r="J21" s="781">
        <f t="shared" si="9"/>
        <v>9.4236706689536884</v>
      </c>
      <c r="K21" s="13">
        <f t="shared" si="10"/>
        <v>-1159</v>
      </c>
      <c r="L21" s="14">
        <f t="shared" si="2"/>
        <v>-285</v>
      </c>
      <c r="M21" s="14">
        <f t="shared" si="3"/>
        <v>-36</v>
      </c>
      <c r="N21" s="333">
        <f t="shared" si="11"/>
        <v>3.7348811228739089</v>
      </c>
      <c r="O21" s="183">
        <f t="shared" si="12"/>
        <v>-39.855570839064647</v>
      </c>
      <c r="P21" s="90">
        <f t="shared" si="4"/>
        <v>-32.386363636363633</v>
      </c>
      <c r="Q21" s="90">
        <f t="shared" si="5"/>
        <v>-20.224719101123593</v>
      </c>
      <c r="R21" s="32">
        <f t="shared" si="13"/>
        <v>65.653353716480254</v>
      </c>
      <c r="T21" s="14">
        <f t="shared" si="6"/>
        <v>16482</v>
      </c>
      <c r="U21" s="780">
        <v>2696</v>
      </c>
      <c r="V21" s="780">
        <v>2769</v>
      </c>
      <c r="W21" s="780">
        <v>2700</v>
      </c>
      <c r="X21" s="780">
        <v>2740</v>
      </c>
      <c r="Y21" s="780">
        <v>2793</v>
      </c>
      <c r="Z21" s="780">
        <v>2784</v>
      </c>
      <c r="AA21" s="14">
        <f t="shared" si="7"/>
        <v>16543</v>
      </c>
      <c r="AB21" s="780">
        <v>3000</v>
      </c>
      <c r="AC21" s="780">
        <v>2886</v>
      </c>
      <c r="AD21" s="780">
        <v>2831</v>
      </c>
      <c r="AE21" s="780">
        <v>2693</v>
      </c>
      <c r="AF21" s="780">
        <v>2613</v>
      </c>
      <c r="AG21" s="780">
        <v>2520</v>
      </c>
    </row>
    <row r="22" spans="2:33" x14ac:dyDescent="0.25">
      <c r="B22" s="177" t="s">
        <v>27</v>
      </c>
      <c r="C22" s="13">
        <v>760</v>
      </c>
      <c r="D22" s="14">
        <v>569</v>
      </c>
      <c r="E22" s="14">
        <v>199</v>
      </c>
      <c r="F22" s="332">
        <f t="shared" si="8"/>
        <v>26.267105263157895</v>
      </c>
      <c r="G22" s="13">
        <f>SUM(T.XX!C22)</f>
        <v>707</v>
      </c>
      <c r="H22" s="14">
        <f>SUM(T.XX!D22)</f>
        <v>540</v>
      </c>
      <c r="I22" s="14">
        <f>SUM(T.XX!E22)</f>
        <v>211</v>
      </c>
      <c r="J22" s="332">
        <f t="shared" si="9"/>
        <v>26.780763790664782</v>
      </c>
      <c r="K22" s="13">
        <f t="shared" si="10"/>
        <v>-53</v>
      </c>
      <c r="L22" s="14">
        <f t="shared" si="2"/>
        <v>-29</v>
      </c>
      <c r="M22" s="14">
        <f t="shared" si="3"/>
        <v>12</v>
      </c>
      <c r="N22" s="333">
        <f t="shared" si="11"/>
        <v>0.51365852750688745</v>
      </c>
      <c r="O22" s="183">
        <f t="shared" si="12"/>
        <v>-6.973684210526315</v>
      </c>
      <c r="P22" s="90">
        <f t="shared" si="4"/>
        <v>-5.0966608084358525</v>
      </c>
      <c r="Q22" s="90">
        <f t="shared" si="5"/>
        <v>6.0301507537688437</v>
      </c>
      <c r="R22" s="32">
        <f t="shared" si="13"/>
        <v>1.9555201167421452</v>
      </c>
      <c r="T22" s="14">
        <f t="shared" si="6"/>
        <v>18934</v>
      </c>
      <c r="U22" s="780">
        <v>3307</v>
      </c>
      <c r="V22" s="780">
        <v>3248</v>
      </c>
      <c r="W22" s="780">
        <v>3156</v>
      </c>
      <c r="X22" s="780">
        <v>3105</v>
      </c>
      <c r="Y22" s="780">
        <v>3109</v>
      </c>
      <c r="Z22" s="780">
        <v>3009</v>
      </c>
      <c r="AA22" s="14">
        <f t="shared" si="7"/>
        <v>19963</v>
      </c>
      <c r="AB22" s="780">
        <v>3429</v>
      </c>
      <c r="AC22" s="780">
        <v>3410</v>
      </c>
      <c r="AD22" s="780">
        <v>3404</v>
      </c>
      <c r="AE22" s="780">
        <v>3347</v>
      </c>
      <c r="AF22" s="780">
        <v>3236</v>
      </c>
      <c r="AG22" s="780">
        <v>3137</v>
      </c>
    </row>
    <row r="23" spans="2:33" x14ac:dyDescent="0.25">
      <c r="B23" s="178" t="s">
        <v>28</v>
      </c>
      <c r="C23" s="107">
        <v>355</v>
      </c>
      <c r="D23" s="108">
        <v>279</v>
      </c>
      <c r="E23" s="14">
        <v>177</v>
      </c>
      <c r="F23" s="349">
        <f t="shared" si="8"/>
        <v>58.476056338028172</v>
      </c>
      <c r="G23" s="107">
        <f>SUM(T.XX!C23)</f>
        <v>280</v>
      </c>
      <c r="H23" s="108">
        <f>SUM(T.XX!D23)</f>
        <v>240</v>
      </c>
      <c r="I23" s="14">
        <f>SUM(T.XX!E23)</f>
        <v>145</v>
      </c>
      <c r="J23" s="349">
        <f t="shared" si="9"/>
        <v>64.442857142857136</v>
      </c>
      <c r="K23" s="107">
        <f t="shared" si="10"/>
        <v>-75</v>
      </c>
      <c r="L23" s="108">
        <f t="shared" si="2"/>
        <v>-39</v>
      </c>
      <c r="M23" s="14">
        <f t="shared" si="3"/>
        <v>-32</v>
      </c>
      <c r="N23" s="333">
        <f t="shared" si="11"/>
        <v>5.9668008048289636</v>
      </c>
      <c r="O23" s="184">
        <f t="shared" si="12"/>
        <v>-21.12676056338028</v>
      </c>
      <c r="P23" s="185">
        <f>SUM(L23)/D23*100</f>
        <v>-13.978494623655912</v>
      </c>
      <c r="Q23" s="90">
        <f>SUM(M23)/E23*100</f>
        <v>-18.07909604519774</v>
      </c>
      <c r="R23" s="32">
        <f t="shared" si="13"/>
        <v>10.203835857769073</v>
      </c>
      <c r="T23" s="108">
        <f t="shared" si="6"/>
        <v>18044</v>
      </c>
      <c r="U23" s="780">
        <v>3218</v>
      </c>
      <c r="V23" s="780">
        <v>3149</v>
      </c>
      <c r="W23" s="780">
        <v>3053</v>
      </c>
      <c r="X23" s="780">
        <v>2947</v>
      </c>
      <c r="Y23" s="780">
        <v>2883</v>
      </c>
      <c r="Z23" s="780">
        <v>2794</v>
      </c>
      <c r="AA23" s="108">
        <f t="shared" si="7"/>
        <v>20759</v>
      </c>
      <c r="AB23" s="780">
        <v>3823</v>
      </c>
      <c r="AC23" s="780">
        <v>3709</v>
      </c>
      <c r="AD23" s="780">
        <v>3564</v>
      </c>
      <c r="AE23" s="780">
        <v>3404</v>
      </c>
      <c r="AF23" s="780">
        <v>3191</v>
      </c>
      <c r="AG23" s="780">
        <v>3068</v>
      </c>
    </row>
    <row r="24" spans="2:33" x14ac:dyDescent="0.25">
      <c r="B24" s="178" t="s">
        <v>29</v>
      </c>
      <c r="C24" s="107">
        <v>1452</v>
      </c>
      <c r="D24" s="108">
        <v>850</v>
      </c>
      <c r="E24" s="14">
        <v>411</v>
      </c>
      <c r="F24" s="349">
        <f t="shared" si="8"/>
        <v>15.412534435261708</v>
      </c>
      <c r="G24" s="107">
        <f>SUM(T.XX!C24)</f>
        <v>1754</v>
      </c>
      <c r="H24" s="108">
        <f>SUM(T.XX!D24)</f>
        <v>832</v>
      </c>
      <c r="I24" s="14">
        <f>SUM(T.XX!E24)</f>
        <v>422</v>
      </c>
      <c r="J24" s="349">
        <f t="shared" si="9"/>
        <v>11.857468643101482</v>
      </c>
      <c r="K24" s="107">
        <f t="shared" si="10"/>
        <v>302</v>
      </c>
      <c r="L24" s="108">
        <f t="shared" si="2"/>
        <v>-18</v>
      </c>
      <c r="M24" s="14">
        <f t="shared" si="3"/>
        <v>11</v>
      </c>
      <c r="N24" s="333">
        <f t="shared" si="11"/>
        <v>-3.5550657921602262</v>
      </c>
      <c r="O24" s="184">
        <f t="shared" si="12"/>
        <v>20.798898071625345</v>
      </c>
      <c r="P24" s="185">
        <f t="shared" si="4"/>
        <v>-2.1176470588235294</v>
      </c>
      <c r="Q24" s="90">
        <f t="shared" si="5"/>
        <v>2.6763990267639901</v>
      </c>
      <c r="R24" s="32">
        <f t="shared" si="13"/>
        <v>-23.066068770796946</v>
      </c>
      <c r="T24" s="108">
        <f t="shared" si="6"/>
        <v>20798</v>
      </c>
      <c r="U24" s="780">
        <v>3707</v>
      </c>
      <c r="V24" s="780">
        <v>3596</v>
      </c>
      <c r="W24" s="780">
        <v>3593</v>
      </c>
      <c r="X24" s="780">
        <v>3492</v>
      </c>
      <c r="Y24" s="780">
        <v>3261</v>
      </c>
      <c r="Z24" s="780">
        <v>3149</v>
      </c>
      <c r="AA24" s="108">
        <f t="shared" si="7"/>
        <v>22379</v>
      </c>
      <c r="AB24" s="780">
        <v>3908</v>
      </c>
      <c r="AC24" s="780">
        <v>3894</v>
      </c>
      <c r="AD24" s="780">
        <v>3799</v>
      </c>
      <c r="AE24" s="780">
        <v>3668</v>
      </c>
      <c r="AF24" s="780">
        <v>3612</v>
      </c>
      <c r="AG24" s="780">
        <v>3498</v>
      </c>
    </row>
    <row r="25" spans="2:33" x14ac:dyDescent="0.25">
      <c r="B25" s="178" t="s">
        <v>30</v>
      </c>
      <c r="C25" s="107">
        <v>911</v>
      </c>
      <c r="D25" s="108">
        <v>450</v>
      </c>
      <c r="E25" s="14">
        <v>148</v>
      </c>
      <c r="F25" s="349">
        <f t="shared" si="8"/>
        <v>20.757409440175632</v>
      </c>
      <c r="G25" s="107">
        <f>SUM(T.XX!C25)</f>
        <v>762</v>
      </c>
      <c r="H25" s="108">
        <f>SUM(T.XX!D25)</f>
        <v>415</v>
      </c>
      <c r="I25" s="14">
        <f>SUM(T.XX!E25)</f>
        <v>189</v>
      </c>
      <c r="J25" s="349">
        <f t="shared" si="9"/>
        <v>21.397637795275589</v>
      </c>
      <c r="K25" s="107">
        <f t="shared" si="10"/>
        <v>-149</v>
      </c>
      <c r="L25" s="108">
        <f t="shared" si="2"/>
        <v>-35</v>
      </c>
      <c r="M25" s="14">
        <f t="shared" si="3"/>
        <v>41</v>
      </c>
      <c r="N25" s="333">
        <f t="shared" si="11"/>
        <v>0.64022835509995701</v>
      </c>
      <c r="O25" s="184">
        <f t="shared" si="12"/>
        <v>-16.355653128430298</v>
      </c>
      <c r="P25" s="185">
        <f t="shared" si="4"/>
        <v>-7.7777777777777777</v>
      </c>
      <c r="Q25" s="90">
        <f t="shared" si="5"/>
        <v>27.702702702702702</v>
      </c>
      <c r="R25" s="32">
        <f t="shared" si="13"/>
        <v>3.0843364965418338</v>
      </c>
      <c r="T25" s="108">
        <f t="shared" si="6"/>
        <v>16305</v>
      </c>
      <c r="U25" s="780">
        <v>2858</v>
      </c>
      <c r="V25" s="780">
        <v>2836</v>
      </c>
      <c r="W25" s="780">
        <v>2763</v>
      </c>
      <c r="X25" s="780">
        <v>2652</v>
      </c>
      <c r="Y25" s="780">
        <v>2637</v>
      </c>
      <c r="Z25" s="780">
        <v>2559</v>
      </c>
      <c r="AA25" s="108">
        <f t="shared" si="7"/>
        <v>18910</v>
      </c>
      <c r="AB25" s="780">
        <v>3305</v>
      </c>
      <c r="AC25" s="780">
        <v>3274</v>
      </c>
      <c r="AD25" s="780">
        <v>3197</v>
      </c>
      <c r="AE25" s="780">
        <v>3099</v>
      </c>
      <c r="AF25" s="780">
        <v>3061</v>
      </c>
      <c r="AG25" s="780">
        <v>2974</v>
      </c>
    </row>
    <row r="26" spans="2:33" x14ac:dyDescent="0.25">
      <c r="B26" s="178" t="s">
        <v>31</v>
      </c>
      <c r="C26" s="107">
        <v>1222</v>
      </c>
      <c r="D26" s="108">
        <v>386</v>
      </c>
      <c r="E26" s="14">
        <v>167</v>
      </c>
      <c r="F26" s="349">
        <f t="shared" si="8"/>
        <v>26.301963993453356</v>
      </c>
      <c r="G26" s="107">
        <f>SUM(T.XX!C26)</f>
        <v>1042</v>
      </c>
      <c r="H26" s="108">
        <f>SUM(T.XX!D26)</f>
        <v>290</v>
      </c>
      <c r="I26" s="14">
        <f>SUM(T.XX!E26)</f>
        <v>141</v>
      </c>
      <c r="J26" s="349">
        <f t="shared" si="9"/>
        <v>28.047024952015356</v>
      </c>
      <c r="K26" s="107">
        <f t="shared" si="10"/>
        <v>-180</v>
      </c>
      <c r="L26" s="108">
        <f t="shared" si="2"/>
        <v>-96</v>
      </c>
      <c r="M26" s="14">
        <f t="shared" si="3"/>
        <v>-26</v>
      </c>
      <c r="N26" s="333">
        <f t="shared" si="11"/>
        <v>1.7450609585620001</v>
      </c>
      <c r="O26" s="184">
        <f t="shared" si="12"/>
        <v>-14.729950900163665</v>
      </c>
      <c r="P26" s="185">
        <f t="shared" si="4"/>
        <v>-24.870466321243523</v>
      </c>
      <c r="Q26" s="90">
        <f t="shared" si="5"/>
        <v>-15.568862275449103</v>
      </c>
      <c r="R26" s="32">
        <f t="shared" si="13"/>
        <v>6.634717312351091</v>
      </c>
      <c r="T26" s="108">
        <f t="shared" si="6"/>
        <v>29225</v>
      </c>
      <c r="U26" s="780">
        <v>5063</v>
      </c>
      <c r="V26" s="780">
        <v>5092</v>
      </c>
      <c r="W26" s="780">
        <v>4917</v>
      </c>
      <c r="X26" s="780">
        <v>4842</v>
      </c>
      <c r="Y26" s="780">
        <v>4716</v>
      </c>
      <c r="Z26" s="780">
        <v>4595</v>
      </c>
      <c r="AA26" s="108">
        <f t="shared" si="7"/>
        <v>32141</v>
      </c>
      <c r="AB26" s="780">
        <v>5713</v>
      </c>
      <c r="AC26" s="780">
        <v>5648</v>
      </c>
      <c r="AD26" s="780">
        <v>5483</v>
      </c>
      <c r="AE26" s="780">
        <v>5261</v>
      </c>
      <c r="AF26" s="780">
        <v>5089</v>
      </c>
      <c r="AG26" s="780">
        <v>4947</v>
      </c>
    </row>
    <row r="27" spans="2:33" x14ac:dyDescent="0.25">
      <c r="B27" s="178" t="s">
        <v>32</v>
      </c>
      <c r="C27" s="107">
        <v>601</v>
      </c>
      <c r="D27" s="108">
        <v>294</v>
      </c>
      <c r="E27" s="14">
        <v>86</v>
      </c>
      <c r="F27" s="349">
        <f t="shared" si="8"/>
        <v>25.281198003327788</v>
      </c>
      <c r="G27" s="107">
        <f>SUM(T.XX!C27)</f>
        <v>716</v>
      </c>
      <c r="H27" s="108">
        <f>SUM(T.XX!D27)</f>
        <v>283</v>
      </c>
      <c r="I27" s="14">
        <f>SUM(T.XX!E27)</f>
        <v>95</v>
      </c>
      <c r="J27" s="349">
        <f t="shared" si="9"/>
        <v>23.074022346368714</v>
      </c>
      <c r="K27" s="107">
        <f t="shared" si="10"/>
        <v>115</v>
      </c>
      <c r="L27" s="108">
        <f t="shared" si="2"/>
        <v>-11</v>
      </c>
      <c r="M27" s="14">
        <f t="shared" si="3"/>
        <v>9</v>
      </c>
      <c r="N27" s="333">
        <f t="shared" si="11"/>
        <v>-2.2071756569590733</v>
      </c>
      <c r="O27" s="184">
        <f>SUM(K27)/C27*100</f>
        <v>19.134775374376041</v>
      </c>
      <c r="P27" s="185">
        <f t="shared" si="4"/>
        <v>-3.7414965986394559</v>
      </c>
      <c r="Q27" s="90">
        <f t="shared" si="5"/>
        <v>10.465116279069768</v>
      </c>
      <c r="R27" s="32">
        <f t="shared" si="13"/>
        <v>-8.7305026315150904</v>
      </c>
      <c r="T27" s="108">
        <f t="shared" si="6"/>
        <v>16521</v>
      </c>
      <c r="U27" s="780">
        <v>2809</v>
      </c>
      <c r="V27" s="780">
        <v>2840</v>
      </c>
      <c r="W27" s="780">
        <v>2802</v>
      </c>
      <c r="X27" s="780">
        <v>2757</v>
      </c>
      <c r="Y27" s="780">
        <v>2669</v>
      </c>
      <c r="Z27" s="780">
        <v>2644</v>
      </c>
      <c r="AA27" s="108">
        <f t="shared" si="7"/>
        <v>15194</v>
      </c>
      <c r="AB27" s="780">
        <v>2599</v>
      </c>
      <c r="AC27" s="780">
        <v>2633</v>
      </c>
      <c r="AD27" s="780">
        <v>2601</v>
      </c>
      <c r="AE27" s="780">
        <v>2542</v>
      </c>
      <c r="AF27" s="780">
        <v>2440</v>
      </c>
      <c r="AG27" s="780">
        <v>2379</v>
      </c>
    </row>
    <row r="28" spans="2:33" x14ac:dyDescent="0.25">
      <c r="B28" s="178" t="s">
        <v>33</v>
      </c>
      <c r="C28" s="107">
        <v>1255</v>
      </c>
      <c r="D28" s="108">
        <v>443</v>
      </c>
      <c r="E28" s="14">
        <v>145</v>
      </c>
      <c r="F28" s="349">
        <f t="shared" si="8"/>
        <v>10.395219123505976</v>
      </c>
      <c r="G28" s="107">
        <f>SUM(T.XX!C28)</f>
        <v>924</v>
      </c>
      <c r="H28" s="108">
        <f>SUM(T.XX!D28)</f>
        <v>317</v>
      </c>
      <c r="I28" s="14">
        <f>SUM(T.XX!E28)</f>
        <v>134</v>
      </c>
      <c r="J28" s="349">
        <f t="shared" si="9"/>
        <v>12.827922077922079</v>
      </c>
      <c r="K28" s="107">
        <f t="shared" si="10"/>
        <v>-331</v>
      </c>
      <c r="L28" s="108">
        <f t="shared" si="2"/>
        <v>-126</v>
      </c>
      <c r="M28" s="14">
        <f t="shared" si="3"/>
        <v>-11</v>
      </c>
      <c r="N28" s="333">
        <f t="shared" si="11"/>
        <v>2.4327029544161025</v>
      </c>
      <c r="O28" s="184">
        <f t="shared" si="12"/>
        <v>-26.374501992031874</v>
      </c>
      <c r="P28" s="185">
        <f t="shared" si="4"/>
        <v>-28.442437923250562</v>
      </c>
      <c r="Q28" s="90">
        <f t="shared" si="5"/>
        <v>-7.5862068965517242</v>
      </c>
      <c r="R28" s="32">
        <f t="shared" si="13"/>
        <v>23.402132514120868</v>
      </c>
      <c r="T28" s="108">
        <f t="shared" si="6"/>
        <v>11853</v>
      </c>
      <c r="U28" s="780">
        <v>2039</v>
      </c>
      <c r="V28" s="780">
        <v>2013</v>
      </c>
      <c r="W28" s="780">
        <v>2007</v>
      </c>
      <c r="X28" s="780">
        <v>1971</v>
      </c>
      <c r="Y28" s="780">
        <v>1970</v>
      </c>
      <c r="Z28" s="780">
        <v>1853</v>
      </c>
      <c r="AA28" s="108">
        <f t="shared" si="7"/>
        <v>13046</v>
      </c>
      <c r="AB28" s="780">
        <v>2307</v>
      </c>
      <c r="AC28" s="780">
        <v>2341</v>
      </c>
      <c r="AD28" s="780">
        <v>2268</v>
      </c>
      <c r="AE28" s="780">
        <v>2137</v>
      </c>
      <c r="AF28" s="780">
        <v>2045</v>
      </c>
      <c r="AG28" s="780">
        <v>1948</v>
      </c>
    </row>
    <row r="29" spans="2:33" x14ac:dyDescent="0.25">
      <c r="B29" s="178" t="s">
        <v>34</v>
      </c>
      <c r="C29" s="107">
        <v>982</v>
      </c>
      <c r="D29" s="108">
        <v>622</v>
      </c>
      <c r="E29" s="14">
        <v>226</v>
      </c>
      <c r="F29" s="349">
        <f t="shared" si="8"/>
        <v>21.210794297352344</v>
      </c>
      <c r="G29" s="107">
        <f>SUM(T.XX!C29)</f>
        <v>962</v>
      </c>
      <c r="H29" s="108">
        <f>SUM(T.XX!D29)</f>
        <v>579</v>
      </c>
      <c r="I29" s="14">
        <f>SUM(T.XX!E29)</f>
        <v>205</v>
      </c>
      <c r="J29" s="349">
        <f t="shared" si="9"/>
        <v>20.391891891891891</v>
      </c>
      <c r="K29" s="107">
        <f t="shared" si="10"/>
        <v>-20</v>
      </c>
      <c r="L29" s="108">
        <f t="shared" si="2"/>
        <v>-43</v>
      </c>
      <c r="M29" s="14">
        <f t="shared" si="3"/>
        <v>-21</v>
      </c>
      <c r="N29" s="333">
        <f t="shared" si="11"/>
        <v>-0.81890240546045234</v>
      </c>
      <c r="O29" s="184">
        <f t="shared" si="12"/>
        <v>-2.0366598778004072</v>
      </c>
      <c r="P29" s="185">
        <f t="shared" si="4"/>
        <v>-6.9131832797427659</v>
      </c>
      <c r="Q29" s="90">
        <f t="shared" si="5"/>
        <v>-9.2920353982300892</v>
      </c>
      <c r="R29" s="32">
        <f t="shared" si="13"/>
        <v>-3.8607814209139377</v>
      </c>
      <c r="T29" s="108">
        <f t="shared" si="6"/>
        <v>19617</v>
      </c>
      <c r="U29" s="780">
        <v>3465</v>
      </c>
      <c r="V29" s="780">
        <v>3417</v>
      </c>
      <c r="W29" s="780">
        <v>3311</v>
      </c>
      <c r="X29" s="780">
        <v>3195</v>
      </c>
      <c r="Y29" s="780">
        <v>3209</v>
      </c>
      <c r="Z29" s="780">
        <v>3020</v>
      </c>
      <c r="AA29" s="108">
        <f t="shared" si="7"/>
        <v>20829</v>
      </c>
      <c r="AB29" s="780">
        <v>3700</v>
      </c>
      <c r="AC29" s="780">
        <v>3666</v>
      </c>
      <c r="AD29" s="780">
        <v>3518</v>
      </c>
      <c r="AE29" s="780">
        <v>3396</v>
      </c>
      <c r="AF29" s="780">
        <v>3316</v>
      </c>
      <c r="AG29" s="780">
        <v>3233</v>
      </c>
    </row>
    <row r="30" spans="2:33" x14ac:dyDescent="0.25">
      <c r="B30" s="178" t="s">
        <v>35</v>
      </c>
      <c r="C30" s="107">
        <v>986</v>
      </c>
      <c r="D30" s="108">
        <v>284</v>
      </c>
      <c r="E30" s="14">
        <v>193</v>
      </c>
      <c r="F30" s="349">
        <f t="shared" si="8"/>
        <v>9.5101419878296145</v>
      </c>
      <c r="G30" s="107">
        <f>SUM(T.XX!C30)</f>
        <v>680</v>
      </c>
      <c r="H30" s="108">
        <f>SUM(T.XX!D30)</f>
        <v>295</v>
      </c>
      <c r="I30" s="14">
        <f>SUM(T.XX!E30)</f>
        <v>165</v>
      </c>
      <c r="J30" s="782">
        <f t="shared" si="9"/>
        <v>11.476470588235294</v>
      </c>
      <c r="K30" s="107">
        <f t="shared" si="10"/>
        <v>-306</v>
      </c>
      <c r="L30" s="108">
        <f t="shared" si="2"/>
        <v>11</v>
      </c>
      <c r="M30" s="14">
        <f t="shared" si="3"/>
        <v>-28</v>
      </c>
      <c r="N30" s="333">
        <f t="shared" si="11"/>
        <v>1.9663286004056797</v>
      </c>
      <c r="O30" s="184">
        <f t="shared" si="12"/>
        <v>-31.03448275862069</v>
      </c>
      <c r="P30" s="185">
        <f t="shared" si="4"/>
        <v>3.873239436619718</v>
      </c>
      <c r="Q30" s="90">
        <f t="shared" si="5"/>
        <v>-14.507772020725387</v>
      </c>
      <c r="R30" s="32">
        <f t="shared" si="13"/>
        <v>20.676122427215528</v>
      </c>
      <c r="T30" s="108">
        <f t="shared" si="6"/>
        <v>7804</v>
      </c>
      <c r="U30" s="780">
        <v>1364</v>
      </c>
      <c r="V30" s="780">
        <v>1376</v>
      </c>
      <c r="W30" s="780">
        <v>1325</v>
      </c>
      <c r="X30" s="780">
        <v>1291</v>
      </c>
      <c r="Y30" s="780">
        <v>1239</v>
      </c>
      <c r="Z30" s="780">
        <v>1209</v>
      </c>
      <c r="AA30" s="108">
        <f t="shared" si="7"/>
        <v>9377</v>
      </c>
      <c r="AB30" s="780">
        <v>1653</v>
      </c>
      <c r="AC30" s="780">
        <v>1689</v>
      </c>
      <c r="AD30" s="780">
        <v>1611</v>
      </c>
      <c r="AE30" s="780">
        <v>1549</v>
      </c>
      <c r="AF30" s="780">
        <v>1468</v>
      </c>
      <c r="AG30" s="780">
        <v>1407</v>
      </c>
    </row>
    <row r="31" spans="2:33" x14ac:dyDescent="0.25">
      <c r="B31" s="178" t="s">
        <v>36</v>
      </c>
      <c r="C31" s="107">
        <v>548</v>
      </c>
      <c r="D31" s="108">
        <v>229</v>
      </c>
      <c r="E31" s="14">
        <v>73</v>
      </c>
      <c r="F31" s="349">
        <f t="shared" si="8"/>
        <v>8.3759124087591239</v>
      </c>
      <c r="G31" s="107">
        <f>SUM(T.XX!C31)</f>
        <v>453</v>
      </c>
      <c r="H31" s="108">
        <f>SUM(T.XX!D31)</f>
        <v>207</v>
      </c>
      <c r="I31" s="14">
        <f>SUM(T.XX!E31)</f>
        <v>78</v>
      </c>
      <c r="J31" s="349">
        <f>SUM(T31)/G31</f>
        <v>10.101545253863135</v>
      </c>
      <c r="K31" s="107">
        <f t="shared" si="10"/>
        <v>-95</v>
      </c>
      <c r="L31" s="108">
        <f t="shared" si="2"/>
        <v>-22</v>
      </c>
      <c r="M31" s="14">
        <f t="shared" si="3"/>
        <v>5</v>
      </c>
      <c r="N31" s="333">
        <f t="shared" si="11"/>
        <v>1.7256328451040108</v>
      </c>
      <c r="O31" s="184">
        <f t="shared" si="12"/>
        <v>-17.335766423357665</v>
      </c>
      <c r="P31" s="185">
        <f t="shared" si="4"/>
        <v>-9.606986899563319</v>
      </c>
      <c r="Q31" s="90">
        <f t="shared" si="5"/>
        <v>6.8493150684931505</v>
      </c>
      <c r="R31" s="32">
        <f t="shared" si="13"/>
        <v>20.602326778148104</v>
      </c>
      <c r="T31" s="108">
        <f t="shared" si="6"/>
        <v>4576</v>
      </c>
      <c r="U31" s="780">
        <v>786</v>
      </c>
      <c r="V31" s="780">
        <v>802</v>
      </c>
      <c r="W31" s="780">
        <v>778</v>
      </c>
      <c r="X31" s="780">
        <v>755</v>
      </c>
      <c r="Y31" s="780">
        <v>730</v>
      </c>
      <c r="Z31" s="780">
        <v>725</v>
      </c>
      <c r="AA31" s="108">
        <f t="shared" si="7"/>
        <v>4590</v>
      </c>
      <c r="AB31" s="780">
        <v>760</v>
      </c>
      <c r="AC31" s="780">
        <v>775</v>
      </c>
      <c r="AD31" s="780">
        <v>790</v>
      </c>
      <c r="AE31" s="780">
        <v>777</v>
      </c>
      <c r="AF31" s="780">
        <v>754</v>
      </c>
      <c r="AG31" s="780">
        <v>734</v>
      </c>
    </row>
    <row r="32" spans="2:33" x14ac:dyDescent="0.25">
      <c r="B32" s="178" t="s">
        <v>37</v>
      </c>
      <c r="C32" s="107">
        <v>699</v>
      </c>
      <c r="D32" s="108">
        <v>378</v>
      </c>
      <c r="E32" s="14">
        <v>169</v>
      </c>
      <c r="F32" s="349">
        <f t="shared" si="8"/>
        <v>24.238912732474965</v>
      </c>
      <c r="G32" s="107">
        <f>SUM(T.XX!C32)</f>
        <v>690</v>
      </c>
      <c r="H32" s="108">
        <f>SUM(T.XX!D32)</f>
        <v>334</v>
      </c>
      <c r="I32" s="14">
        <f>SUM(T.XX!E32)</f>
        <v>192</v>
      </c>
      <c r="J32" s="349">
        <f t="shared" si="9"/>
        <v>21.804347826086957</v>
      </c>
      <c r="K32" s="107">
        <f t="shared" si="10"/>
        <v>-9</v>
      </c>
      <c r="L32" s="108">
        <f t="shared" si="2"/>
        <v>-44</v>
      </c>
      <c r="M32" s="14">
        <f t="shared" si="3"/>
        <v>23</v>
      </c>
      <c r="N32" s="333">
        <f t="shared" si="11"/>
        <v>-2.4345649063880082</v>
      </c>
      <c r="O32" s="184">
        <f t="shared" si="12"/>
        <v>-1.2875536480686696</v>
      </c>
      <c r="P32" s="185">
        <f t="shared" si="4"/>
        <v>-11.640211640211639</v>
      </c>
      <c r="Q32" s="90">
        <f t="shared" si="5"/>
        <v>13.609467455621301</v>
      </c>
      <c r="R32" s="32">
        <f t="shared" si="13"/>
        <v>-10.044035115181595</v>
      </c>
      <c r="T32" s="108">
        <f t="shared" si="6"/>
        <v>15045</v>
      </c>
      <c r="U32" s="780">
        <v>2597</v>
      </c>
      <c r="V32" s="780">
        <v>2556</v>
      </c>
      <c r="W32" s="780">
        <v>2516</v>
      </c>
      <c r="X32" s="780">
        <v>2492</v>
      </c>
      <c r="Y32" s="780">
        <v>2469</v>
      </c>
      <c r="Z32" s="780">
        <v>2415</v>
      </c>
      <c r="AA32" s="108">
        <f t="shared" si="7"/>
        <v>16943</v>
      </c>
      <c r="AB32" s="780">
        <v>3015</v>
      </c>
      <c r="AC32" s="780">
        <v>2970</v>
      </c>
      <c r="AD32" s="780">
        <v>2873</v>
      </c>
      <c r="AE32" s="780">
        <v>2785</v>
      </c>
      <c r="AF32" s="780">
        <v>2707</v>
      </c>
      <c r="AG32" s="780">
        <v>2593</v>
      </c>
    </row>
    <row r="33" spans="2:33" x14ac:dyDescent="0.25">
      <c r="B33" s="178" t="s">
        <v>38</v>
      </c>
      <c r="C33" s="107">
        <v>4452</v>
      </c>
      <c r="D33" s="108">
        <v>634</v>
      </c>
      <c r="E33" s="14">
        <v>364</v>
      </c>
      <c r="F33" s="349">
        <f t="shared" si="8"/>
        <v>8.2131626235399828</v>
      </c>
      <c r="G33" s="107">
        <f>SUM(T.XX!C33)</f>
        <v>3993</v>
      </c>
      <c r="H33" s="108">
        <f>SUM(T.XX!D33)</f>
        <v>521</v>
      </c>
      <c r="I33" s="14">
        <f>SUM(T.XX!E33)</f>
        <v>408</v>
      </c>
      <c r="J33" s="782">
        <f t="shared" si="9"/>
        <v>8.1930879038317048</v>
      </c>
      <c r="K33" s="107">
        <f t="shared" si="10"/>
        <v>-459</v>
      </c>
      <c r="L33" s="108">
        <f t="shared" si="2"/>
        <v>-113</v>
      </c>
      <c r="M33" s="14">
        <f t="shared" si="3"/>
        <v>44</v>
      </c>
      <c r="N33" s="333">
        <f t="shared" si="11"/>
        <v>-2.007471970827801E-2</v>
      </c>
      <c r="O33" s="184">
        <f t="shared" si="12"/>
        <v>-10.309973045822103</v>
      </c>
      <c r="P33" s="185">
        <f t="shared" si="4"/>
        <v>-17.823343848580443</v>
      </c>
      <c r="Q33" s="90">
        <f t="shared" si="5"/>
        <v>12.087912087912088</v>
      </c>
      <c r="R33" s="32">
        <f t="shared" si="13"/>
        <v>-0.24442131038220619</v>
      </c>
      <c r="T33" s="108">
        <f t="shared" si="6"/>
        <v>32715</v>
      </c>
      <c r="U33" s="780">
        <v>5550</v>
      </c>
      <c r="V33" s="780">
        <v>5508</v>
      </c>
      <c r="W33" s="780">
        <v>5487</v>
      </c>
      <c r="X33" s="780">
        <v>5482</v>
      </c>
      <c r="Y33" s="780">
        <v>5400</v>
      </c>
      <c r="Z33" s="780">
        <v>5288</v>
      </c>
      <c r="AA33" s="108">
        <f t="shared" si="7"/>
        <v>36565</v>
      </c>
      <c r="AB33" s="780">
        <v>6324</v>
      </c>
      <c r="AC33" s="780">
        <v>6300</v>
      </c>
      <c r="AD33" s="780">
        <v>6191</v>
      </c>
      <c r="AE33" s="780">
        <v>6049</v>
      </c>
      <c r="AF33" s="780">
        <v>5878</v>
      </c>
      <c r="AG33" s="780">
        <v>5823</v>
      </c>
    </row>
    <row r="34" spans="2:33" ht="15.75" thickBot="1" x14ac:dyDescent="0.3">
      <c r="B34" s="179" t="s">
        <v>39</v>
      </c>
      <c r="C34" s="109">
        <v>810</v>
      </c>
      <c r="D34" s="111">
        <v>287</v>
      </c>
      <c r="E34" s="20">
        <v>138</v>
      </c>
      <c r="F34" s="350">
        <f t="shared" si="8"/>
        <v>10.109876543209877</v>
      </c>
      <c r="G34" s="109">
        <f>SUM(T.XX!C34)</f>
        <v>569</v>
      </c>
      <c r="H34" s="111">
        <f>SUM(T.XX!D34)</f>
        <v>268</v>
      </c>
      <c r="I34" s="20">
        <f>SUM(T.XX!E34)</f>
        <v>108</v>
      </c>
      <c r="J34" s="350">
        <f t="shared" si="9"/>
        <v>11.671353251318102</v>
      </c>
      <c r="K34" s="109">
        <f t="shared" si="10"/>
        <v>-241</v>
      </c>
      <c r="L34" s="111">
        <f t="shared" si="2"/>
        <v>-19</v>
      </c>
      <c r="M34" s="20">
        <f t="shared" si="3"/>
        <v>-30</v>
      </c>
      <c r="N34" s="352">
        <f t="shared" si="11"/>
        <v>1.5614767081082253</v>
      </c>
      <c r="O34" s="186">
        <f t="shared" si="12"/>
        <v>-29.753086419753089</v>
      </c>
      <c r="P34" s="187">
        <f t="shared" si="4"/>
        <v>-6.6202090592334493</v>
      </c>
      <c r="Q34" s="91">
        <f t="shared" si="5"/>
        <v>-21.739130434782609</v>
      </c>
      <c r="R34" s="188">
        <f t="shared" si="13"/>
        <v>15.445062078002961</v>
      </c>
      <c r="T34" s="108">
        <f t="shared" si="6"/>
        <v>6641</v>
      </c>
      <c r="U34" s="780">
        <v>1146</v>
      </c>
      <c r="V34" s="780">
        <v>1155</v>
      </c>
      <c r="W34" s="780">
        <v>1125</v>
      </c>
      <c r="X34" s="780">
        <v>1107</v>
      </c>
      <c r="Y34" s="780">
        <v>1073</v>
      </c>
      <c r="Z34" s="780">
        <v>1035</v>
      </c>
      <c r="AA34" s="108">
        <f t="shared" si="7"/>
        <v>8189</v>
      </c>
      <c r="AB34" s="780">
        <v>1425</v>
      </c>
      <c r="AC34" s="780">
        <v>1429</v>
      </c>
      <c r="AD34" s="780">
        <v>1432</v>
      </c>
      <c r="AE34" s="780">
        <v>1387</v>
      </c>
      <c r="AF34" s="780">
        <v>1323</v>
      </c>
      <c r="AG34" s="780">
        <v>1193</v>
      </c>
    </row>
    <row r="36" spans="2:33" x14ac:dyDescent="0.25">
      <c r="D36" s="301"/>
      <c r="H36" s="301"/>
      <c r="I36" s="301"/>
      <c r="K36" s="298"/>
    </row>
    <row r="37" spans="2:33" x14ac:dyDescent="0.25">
      <c r="G37" s="300"/>
    </row>
  </sheetData>
  <mergeCells count="18">
    <mergeCell ref="O7:O8"/>
    <mergeCell ref="C5:I5"/>
    <mergeCell ref="B6:B8"/>
    <mergeCell ref="C6:F6"/>
    <mergeCell ref="K6:N6"/>
    <mergeCell ref="O6:R6"/>
    <mergeCell ref="G7:G8"/>
    <mergeCell ref="H7:I7"/>
    <mergeCell ref="J7:J8"/>
    <mergeCell ref="C7:C8"/>
    <mergeCell ref="P7:Q7"/>
    <mergeCell ref="R7:R8"/>
    <mergeCell ref="G6:J6"/>
    <mergeCell ref="D7:E7"/>
    <mergeCell ref="F7:F8"/>
    <mergeCell ref="K7:K8"/>
    <mergeCell ref="L7:M7"/>
    <mergeCell ref="N7:N8"/>
  </mergeCells>
  <pageMargins left="0" right="0" top="1.3779527559055118" bottom="0" header="0" footer="0"/>
  <pageSetup paperSize="9" scale="41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 tint="0.59999389629810485"/>
    <pageSetUpPr fitToPage="1"/>
  </sheetPr>
  <dimension ref="B1:G63"/>
  <sheetViews>
    <sheetView workbookViewId="0">
      <selection activeCell="B1" sqref="B1"/>
    </sheetView>
  </sheetViews>
  <sheetFormatPr defaultColWidth="9.140625" defaultRowHeight="15" x14ac:dyDescent="0.25"/>
  <cols>
    <col min="1" max="1" width="3" style="78" customWidth="1"/>
    <col min="2" max="2" width="60" style="78" customWidth="1"/>
    <col min="3" max="3" width="10.7109375" style="78" customWidth="1"/>
    <col min="4" max="4" width="11.140625" style="78" customWidth="1"/>
    <col min="5" max="5" width="10.28515625" style="78" customWidth="1"/>
    <col min="6" max="6" width="11.5703125" style="78" customWidth="1"/>
    <col min="7" max="7" width="10.5703125" style="78" customWidth="1"/>
    <col min="8" max="16384" width="9.140625" style="78"/>
  </cols>
  <sheetData>
    <row r="1" spans="2:7" x14ac:dyDescent="0.25">
      <c r="B1" s="239" t="s">
        <v>381</v>
      </c>
      <c r="C1" s="240"/>
      <c r="D1" s="240"/>
      <c r="E1" s="240"/>
    </row>
    <row r="2" spans="2:7" x14ac:dyDescent="0.25">
      <c r="B2" s="11" t="s">
        <v>250</v>
      </c>
      <c r="C2" s="144"/>
      <c r="D2" s="144"/>
      <c r="E2" s="144"/>
    </row>
    <row r="3" spans="2:7" ht="15.75" thickBot="1" x14ac:dyDescent="0.3">
      <c r="B3" s="11" t="s">
        <v>332</v>
      </c>
      <c r="C3" s="144"/>
      <c r="D3" s="144"/>
      <c r="E3" s="144"/>
    </row>
    <row r="4" spans="2:7" ht="45.75" thickBot="1" x14ac:dyDescent="0.3">
      <c r="B4" s="682" t="s">
        <v>160</v>
      </c>
      <c r="C4" s="683" t="s">
        <v>178</v>
      </c>
      <c r="D4" s="685" t="s">
        <v>433</v>
      </c>
      <c r="E4" s="686" t="s">
        <v>426</v>
      </c>
      <c r="F4" s="683" t="s">
        <v>518</v>
      </c>
      <c r="G4" s="684" t="s">
        <v>426</v>
      </c>
    </row>
    <row r="5" spans="2:7" ht="28.5" x14ac:dyDescent="0.25">
      <c r="B5" s="687" t="s">
        <v>223</v>
      </c>
      <c r="C5" s="688">
        <v>1</v>
      </c>
      <c r="D5" s="688">
        <f>SUM(D6:D9)</f>
        <v>175</v>
      </c>
      <c r="E5" s="689">
        <f>SUM(D5/D59)*100</f>
        <v>0.63398905916023618</v>
      </c>
      <c r="F5" s="688">
        <f>SUM(F6:F9)</f>
        <v>131</v>
      </c>
      <c r="G5" s="689">
        <f>SUM(F5/F59)*100</f>
        <v>0.55438002539145148</v>
      </c>
    </row>
    <row r="6" spans="2:7" ht="30" x14ac:dyDescent="0.25">
      <c r="B6" s="192" t="s">
        <v>224</v>
      </c>
      <c r="C6" s="193">
        <v>11</v>
      </c>
      <c r="D6" s="193">
        <v>5</v>
      </c>
      <c r="E6" s="211">
        <f>SUM(D6)/D5*100</f>
        <v>2.8571428571428572</v>
      </c>
      <c r="F6" s="193">
        <v>6</v>
      </c>
      <c r="G6" s="211">
        <f>SUM(F6)/F5*100</f>
        <v>4.5801526717557248</v>
      </c>
    </row>
    <row r="7" spans="2:7" x14ac:dyDescent="0.25">
      <c r="B7" s="192" t="s">
        <v>179</v>
      </c>
      <c r="C7" s="193">
        <v>12</v>
      </c>
      <c r="D7" s="193">
        <v>61</v>
      </c>
      <c r="E7" s="211">
        <f>SUM(D7)/D5*100</f>
        <v>34.857142857142861</v>
      </c>
      <c r="F7" s="193">
        <v>49</v>
      </c>
      <c r="G7" s="211">
        <f>SUM(F7)/F5*100</f>
        <v>37.404580152671755</v>
      </c>
    </row>
    <row r="8" spans="2:7" x14ac:dyDescent="0.25">
      <c r="B8" s="192" t="s">
        <v>180</v>
      </c>
      <c r="C8" s="193">
        <v>13</v>
      </c>
      <c r="D8" s="193">
        <v>66</v>
      </c>
      <c r="E8" s="211">
        <f>SUM(D8)/D5*100</f>
        <v>37.714285714285715</v>
      </c>
      <c r="F8" s="193">
        <v>53</v>
      </c>
      <c r="G8" s="211">
        <f>SUM(F8)/F5*100</f>
        <v>40.458015267175576</v>
      </c>
    </row>
    <row r="9" spans="2:7" ht="30" x14ac:dyDescent="0.25">
      <c r="B9" s="192" t="s">
        <v>181</v>
      </c>
      <c r="C9" s="193">
        <v>14</v>
      </c>
      <c r="D9" s="193">
        <v>43</v>
      </c>
      <c r="E9" s="212">
        <f>SUM(D9)/D5*100</f>
        <v>24.571428571428573</v>
      </c>
      <c r="F9" s="193">
        <v>23</v>
      </c>
      <c r="G9" s="212">
        <f>SUM(F9)/F5*100</f>
        <v>17.557251908396946</v>
      </c>
    </row>
    <row r="10" spans="2:7" x14ac:dyDescent="0.25">
      <c r="B10" s="693" t="s">
        <v>168</v>
      </c>
      <c r="C10" s="692">
        <v>2</v>
      </c>
      <c r="D10" s="691">
        <f>SUM(D11:D16)</f>
        <v>1669</v>
      </c>
      <c r="E10" s="690">
        <f>SUM(D10/D59)*100</f>
        <v>6.0464442270767673</v>
      </c>
      <c r="F10" s="691">
        <f>SUM(F11:F16)</f>
        <v>1579</v>
      </c>
      <c r="G10" s="690">
        <f>SUM(F10/F59)*100</f>
        <v>6.6821836648328397</v>
      </c>
    </row>
    <row r="11" spans="2:7" x14ac:dyDescent="0.25">
      <c r="B11" s="192" t="s">
        <v>184</v>
      </c>
      <c r="C11" s="193">
        <v>21</v>
      </c>
      <c r="D11" s="132">
        <v>343</v>
      </c>
      <c r="E11" s="211">
        <f>SUM(D11)/D10*100</f>
        <v>20.551228280407429</v>
      </c>
      <c r="F11" s="132">
        <v>294</v>
      </c>
      <c r="G11" s="211">
        <f>SUM(F11)/F10*100</f>
        <v>18.619379354021532</v>
      </c>
    </row>
    <row r="12" spans="2:7" x14ac:dyDescent="0.25">
      <c r="B12" s="192" t="s">
        <v>185</v>
      </c>
      <c r="C12" s="193">
        <v>22</v>
      </c>
      <c r="D12" s="193">
        <v>333</v>
      </c>
      <c r="E12" s="211">
        <f>SUM(D12)/D10*100</f>
        <v>19.952067106051526</v>
      </c>
      <c r="F12" s="193">
        <v>307</v>
      </c>
      <c r="G12" s="211">
        <f>SUM(F12)/F10*100</f>
        <v>19.442685243825206</v>
      </c>
    </row>
    <row r="13" spans="2:7" x14ac:dyDescent="0.25">
      <c r="B13" s="192" t="s">
        <v>186</v>
      </c>
      <c r="C13" s="193">
        <v>23</v>
      </c>
      <c r="D13" s="132">
        <v>311</v>
      </c>
      <c r="E13" s="211">
        <f>SUM(D13)/D10*100</f>
        <v>18.633912522468542</v>
      </c>
      <c r="F13" s="132">
        <v>319</v>
      </c>
      <c r="G13" s="211">
        <f>SUM(F13)/F10*100</f>
        <v>20.202659911336287</v>
      </c>
    </row>
    <row r="14" spans="2:7" x14ac:dyDescent="0.25">
      <c r="B14" s="192" t="s">
        <v>187</v>
      </c>
      <c r="C14" s="193">
        <v>24</v>
      </c>
      <c r="D14" s="132">
        <v>508</v>
      </c>
      <c r="E14" s="211">
        <f>SUM(D14)/D10*100</f>
        <v>30.437387657279807</v>
      </c>
      <c r="F14" s="132">
        <v>371</v>
      </c>
      <c r="G14" s="211">
        <f>SUM(F14)/F10*100</f>
        <v>23.495883470550982</v>
      </c>
    </row>
    <row r="15" spans="2:7" x14ac:dyDescent="0.25">
      <c r="B15" s="192" t="s">
        <v>188</v>
      </c>
      <c r="C15" s="193">
        <v>25</v>
      </c>
      <c r="D15" s="193">
        <v>30</v>
      </c>
      <c r="E15" s="211">
        <f>SUM(D15)/D10*100</f>
        <v>1.7974835230677051</v>
      </c>
      <c r="F15" s="193">
        <v>30</v>
      </c>
      <c r="G15" s="211">
        <f>SUM(F15)/F10*100</f>
        <v>1.8999366687777075</v>
      </c>
    </row>
    <row r="16" spans="2:7" x14ac:dyDescent="0.25">
      <c r="B16" s="192" t="s">
        <v>189</v>
      </c>
      <c r="C16" s="193">
        <v>26</v>
      </c>
      <c r="D16" s="132">
        <v>144</v>
      </c>
      <c r="E16" s="211">
        <f>SUM(D16)/D10*100</f>
        <v>8.6279209107249848</v>
      </c>
      <c r="F16" s="132">
        <v>258</v>
      </c>
      <c r="G16" s="211">
        <f>SUM(F16)/F10*100</f>
        <v>16.339455351488283</v>
      </c>
    </row>
    <row r="17" spans="2:7" x14ac:dyDescent="0.25">
      <c r="B17" s="693" t="s">
        <v>169</v>
      </c>
      <c r="C17" s="692">
        <v>3</v>
      </c>
      <c r="D17" s="691">
        <f>SUM(D18:D22)</f>
        <v>2367</v>
      </c>
      <c r="E17" s="690">
        <f>SUM(D17)/D59*100</f>
        <v>8.5751548744701651</v>
      </c>
      <c r="F17" s="691">
        <f>SUM(F18:F22)</f>
        <v>2087</v>
      </c>
      <c r="G17" s="690">
        <f>SUM(F17)/F59*100</f>
        <v>8.8319932289462546</v>
      </c>
    </row>
    <row r="18" spans="2:7" x14ac:dyDescent="0.25">
      <c r="B18" s="192" t="s">
        <v>190</v>
      </c>
      <c r="C18" s="193">
        <v>31</v>
      </c>
      <c r="D18" s="132">
        <v>678</v>
      </c>
      <c r="E18" s="211">
        <f>SUM(D18)/D17*100</f>
        <v>28.643852978453737</v>
      </c>
      <c r="F18" s="132">
        <v>497</v>
      </c>
      <c r="G18" s="211">
        <f>SUM(F18)/F17*100</f>
        <v>23.814087206516533</v>
      </c>
    </row>
    <row r="19" spans="2:7" x14ac:dyDescent="0.25">
      <c r="B19" s="192" t="s">
        <v>191</v>
      </c>
      <c r="C19" s="193">
        <v>32</v>
      </c>
      <c r="D19" s="132">
        <v>374</v>
      </c>
      <c r="E19" s="211">
        <f>SUM(D19)/D17*100</f>
        <v>15.800591465990705</v>
      </c>
      <c r="F19" s="132">
        <v>315</v>
      </c>
      <c r="G19" s="211">
        <f>SUM(F19)/F17*100</f>
        <v>15.093435553425971</v>
      </c>
    </row>
    <row r="20" spans="2:7" x14ac:dyDescent="0.25">
      <c r="B20" s="192" t="s">
        <v>192</v>
      </c>
      <c r="C20" s="193">
        <v>33</v>
      </c>
      <c r="D20" s="132">
        <v>816</v>
      </c>
      <c r="E20" s="211">
        <f>SUM(D20)/D17*100</f>
        <v>34.474017743979722</v>
      </c>
      <c r="F20" s="132">
        <v>823</v>
      </c>
      <c r="G20" s="211">
        <f>SUM(F20)/F17*100</f>
        <v>39.434595112601819</v>
      </c>
    </row>
    <row r="21" spans="2:7" ht="30" x14ac:dyDescent="0.25">
      <c r="B21" s="192" t="s">
        <v>193</v>
      </c>
      <c r="C21" s="193">
        <v>34</v>
      </c>
      <c r="D21" s="132">
        <v>434</v>
      </c>
      <c r="E21" s="211">
        <f>SUM(D21)/D17*100</f>
        <v>18.335445711871568</v>
      </c>
      <c r="F21" s="132">
        <v>410</v>
      </c>
      <c r="G21" s="211">
        <f>SUM(F21)/F17*100</f>
        <v>19.64542405366555</v>
      </c>
    </row>
    <row r="22" spans="2:7" x14ac:dyDescent="0.25">
      <c r="B22" s="192" t="s">
        <v>194</v>
      </c>
      <c r="C22" s="193">
        <v>35</v>
      </c>
      <c r="D22" s="193">
        <v>65</v>
      </c>
      <c r="E22" s="211">
        <f>SUM(D22)/D17*100</f>
        <v>2.746092099704267</v>
      </c>
      <c r="F22" s="193">
        <v>42</v>
      </c>
      <c r="G22" s="211">
        <f>SUM(F22)/F17*100</f>
        <v>2.0124580737901296</v>
      </c>
    </row>
    <row r="23" spans="2:7" x14ac:dyDescent="0.25">
      <c r="B23" s="693" t="s">
        <v>170</v>
      </c>
      <c r="C23" s="692">
        <v>4</v>
      </c>
      <c r="D23" s="691">
        <f>SUM(D24:D27)</f>
        <v>3090</v>
      </c>
      <c r="E23" s="690">
        <f>SUM(D23)/D59*100</f>
        <v>11.194435387457885</v>
      </c>
      <c r="F23" s="691">
        <f>SUM(F24:F27)</f>
        <v>3056</v>
      </c>
      <c r="G23" s="690">
        <f>SUM(F23)/F59*100</f>
        <v>12.932712653406686</v>
      </c>
    </row>
    <row r="24" spans="2:7" x14ac:dyDescent="0.25">
      <c r="B24" s="192" t="s">
        <v>195</v>
      </c>
      <c r="C24" s="193">
        <v>41</v>
      </c>
      <c r="D24" s="132">
        <v>1625</v>
      </c>
      <c r="E24" s="211">
        <f>SUM(D24)/D23*100</f>
        <v>52.588996763754047</v>
      </c>
      <c r="F24" s="132">
        <v>1542</v>
      </c>
      <c r="G24" s="211">
        <f>SUM(F24)/F23*100</f>
        <v>50.458115183246079</v>
      </c>
    </row>
    <row r="25" spans="2:7" x14ac:dyDescent="0.25">
      <c r="B25" s="192" t="s">
        <v>196</v>
      </c>
      <c r="C25" s="193">
        <v>42</v>
      </c>
      <c r="D25" s="193">
        <v>219</v>
      </c>
      <c r="E25" s="211">
        <f>SUM(D25)/D23*100</f>
        <v>7.0873786407766994</v>
      </c>
      <c r="F25" s="193">
        <v>206</v>
      </c>
      <c r="G25" s="211">
        <f>SUM(F25)/F23*100</f>
        <v>6.7408376963350776</v>
      </c>
    </row>
    <row r="26" spans="2:7" ht="30" x14ac:dyDescent="0.25">
      <c r="B26" s="192" t="s">
        <v>197</v>
      </c>
      <c r="C26" s="193">
        <v>43</v>
      </c>
      <c r="D26" s="132">
        <v>1124</v>
      </c>
      <c r="E26" s="211">
        <f>SUM(D26)/D23*100</f>
        <v>36.375404530744341</v>
      </c>
      <c r="F26" s="132">
        <v>1172</v>
      </c>
      <c r="G26" s="211">
        <f>SUM(F26)/F23*100</f>
        <v>38.35078534031414</v>
      </c>
    </row>
    <row r="27" spans="2:7" x14ac:dyDescent="0.25">
      <c r="B27" s="192" t="s">
        <v>198</v>
      </c>
      <c r="C27" s="193">
        <v>44</v>
      </c>
      <c r="D27" s="193">
        <v>122</v>
      </c>
      <c r="E27" s="211">
        <f>SUM(D27)/D23*100</f>
        <v>3.9482200647249193</v>
      </c>
      <c r="F27" s="193">
        <v>136</v>
      </c>
      <c r="G27" s="211">
        <f>SUM(F27)/F23*100</f>
        <v>4.4502617801047117</v>
      </c>
    </row>
    <row r="28" spans="2:7" x14ac:dyDescent="0.25">
      <c r="B28" s="693" t="s">
        <v>171</v>
      </c>
      <c r="C28" s="692">
        <v>5</v>
      </c>
      <c r="D28" s="691">
        <f>SUM(D29:D32)</f>
        <v>5527</v>
      </c>
      <c r="E28" s="690">
        <f>SUM(D28)/D59*100</f>
        <v>20.023185885592145</v>
      </c>
      <c r="F28" s="691">
        <f>SUM(F29:F32)</f>
        <v>5039</v>
      </c>
      <c r="G28" s="690">
        <f>SUM(F28)/F59*100</f>
        <v>21.324587388912398</v>
      </c>
    </row>
    <row r="29" spans="2:7" x14ac:dyDescent="0.25">
      <c r="B29" s="192" t="s">
        <v>199</v>
      </c>
      <c r="C29" s="193">
        <v>51</v>
      </c>
      <c r="D29" s="132">
        <v>2667</v>
      </c>
      <c r="E29" s="211">
        <f>SUM(D29)/D28*100</f>
        <v>48.254025692057176</v>
      </c>
      <c r="F29" s="132">
        <v>2331</v>
      </c>
      <c r="G29" s="211">
        <f>SUM(F29)/F28*100</f>
        <v>46.259178408414371</v>
      </c>
    </row>
    <row r="30" spans="2:7" x14ac:dyDescent="0.25">
      <c r="B30" s="192" t="s">
        <v>200</v>
      </c>
      <c r="C30" s="193">
        <v>52</v>
      </c>
      <c r="D30" s="132">
        <v>2253</v>
      </c>
      <c r="E30" s="211">
        <f>SUM(D30)/D28*100</f>
        <v>40.763524516012303</v>
      </c>
      <c r="F30" s="132">
        <v>1999</v>
      </c>
      <c r="G30" s="211">
        <f>SUM(F30)/F28*100</f>
        <v>39.67056955745187</v>
      </c>
    </row>
    <row r="31" spans="2:7" x14ac:dyDescent="0.25">
      <c r="B31" s="192" t="s">
        <v>201</v>
      </c>
      <c r="C31" s="193">
        <v>53</v>
      </c>
      <c r="D31" s="193">
        <v>404</v>
      </c>
      <c r="E31" s="211">
        <f>SUM(D31)/D28*100</f>
        <v>7.3095711959471688</v>
      </c>
      <c r="F31" s="193">
        <v>427</v>
      </c>
      <c r="G31" s="211">
        <f>SUM(F31)/F28*100</f>
        <v>8.4739035522921213</v>
      </c>
    </row>
    <row r="32" spans="2:7" x14ac:dyDescent="0.25">
      <c r="B32" s="192" t="s">
        <v>202</v>
      </c>
      <c r="C32" s="193">
        <v>54</v>
      </c>
      <c r="D32" s="193">
        <v>203</v>
      </c>
      <c r="E32" s="211">
        <f>SUM(D32)/D28*100</f>
        <v>3.6728785959833545</v>
      </c>
      <c r="F32" s="193">
        <v>282</v>
      </c>
      <c r="G32" s="211">
        <f>SUM(F32)/F28*100</f>
        <v>5.5963484818416349</v>
      </c>
    </row>
    <row r="33" spans="2:7" x14ac:dyDescent="0.25">
      <c r="B33" s="693" t="s">
        <v>172</v>
      </c>
      <c r="C33" s="692">
        <v>6</v>
      </c>
      <c r="D33" s="691">
        <f>SUM(D34:D36)</f>
        <v>155</v>
      </c>
      <c r="E33" s="690">
        <f>SUM(D33)/D59*100</f>
        <v>0.56153316668478059</v>
      </c>
      <c r="F33" s="691">
        <f>SUM(F34:F36)</f>
        <v>154</v>
      </c>
      <c r="G33" s="690">
        <f>SUM(F33)/F59*100</f>
        <v>0.65171392297926367</v>
      </c>
    </row>
    <row r="34" spans="2:7" x14ac:dyDescent="0.25">
      <c r="B34" s="192" t="s">
        <v>203</v>
      </c>
      <c r="C34" s="193">
        <v>61</v>
      </c>
      <c r="D34" s="132">
        <v>106</v>
      </c>
      <c r="E34" s="211">
        <f>SUM(D34)/D33*100</f>
        <v>68.387096774193552</v>
      </c>
      <c r="F34" s="132">
        <v>106</v>
      </c>
      <c r="G34" s="211">
        <f>SUM(F34)/F33*100</f>
        <v>68.831168831168839</v>
      </c>
    </row>
    <row r="35" spans="2:7" x14ac:dyDescent="0.25">
      <c r="B35" s="192" t="s">
        <v>204</v>
      </c>
      <c r="C35" s="193">
        <v>62</v>
      </c>
      <c r="D35" s="193">
        <v>49</v>
      </c>
      <c r="E35" s="211">
        <f>SUM(D35)/D33*100</f>
        <v>31.612903225806448</v>
      </c>
      <c r="F35" s="193">
        <v>48</v>
      </c>
      <c r="G35" s="211">
        <f>SUM(F35)/F33*100</f>
        <v>31.168831168831169</v>
      </c>
    </row>
    <row r="36" spans="2:7" x14ac:dyDescent="0.25">
      <c r="B36" s="192" t="s">
        <v>205</v>
      </c>
      <c r="C36" s="193">
        <v>63</v>
      </c>
      <c r="D36" s="193">
        <v>0</v>
      </c>
      <c r="E36" s="211">
        <f>SUM(D36)/D33*100</f>
        <v>0</v>
      </c>
      <c r="F36" s="193">
        <v>0</v>
      </c>
      <c r="G36" s="211">
        <f>SUM(F36)/F33*100</f>
        <v>0</v>
      </c>
    </row>
    <row r="37" spans="2:7" x14ac:dyDescent="0.25">
      <c r="B37" s="693" t="s">
        <v>173</v>
      </c>
      <c r="C37" s="692">
        <v>7</v>
      </c>
      <c r="D37" s="691">
        <f>SUM(D38:D42)</f>
        <v>7441</v>
      </c>
      <c r="E37" s="690">
        <f>SUM(D37)/D59*100</f>
        <v>26.957214795493243</v>
      </c>
      <c r="F37" s="691">
        <f>SUM(F38:F42)</f>
        <v>5460</v>
      </c>
      <c r="G37" s="690">
        <f>SUM(F37)/F59*100</f>
        <v>23.10622090562844</v>
      </c>
    </row>
    <row r="38" spans="2:7" x14ac:dyDescent="0.25">
      <c r="B38" s="192" t="s">
        <v>206</v>
      </c>
      <c r="C38" s="193">
        <v>71</v>
      </c>
      <c r="D38" s="132">
        <v>2407</v>
      </c>
      <c r="E38" s="211">
        <f>SUM(D38)/D37*100</f>
        <v>32.347802714688882</v>
      </c>
      <c r="F38" s="132">
        <v>2005</v>
      </c>
      <c r="G38" s="211">
        <f>SUM(F38)/F37*100</f>
        <v>36.721611721611723</v>
      </c>
    </row>
    <row r="39" spans="2:7" x14ac:dyDescent="0.25">
      <c r="B39" s="192" t="s">
        <v>207</v>
      </c>
      <c r="C39" s="193">
        <v>72</v>
      </c>
      <c r="D39" s="132">
        <v>2926</v>
      </c>
      <c r="E39" s="211">
        <f>SUM(D39)/D37*100</f>
        <v>39.322671683913448</v>
      </c>
      <c r="F39" s="132">
        <v>1774</v>
      </c>
      <c r="G39" s="211">
        <f>SUM(F39)/F37*100</f>
        <v>32.490842490842489</v>
      </c>
    </row>
    <row r="40" spans="2:7" x14ac:dyDescent="0.25">
      <c r="B40" s="192" t="s">
        <v>208</v>
      </c>
      <c r="C40" s="193">
        <v>73</v>
      </c>
      <c r="D40" s="132">
        <v>102</v>
      </c>
      <c r="E40" s="211">
        <f>SUM(D40)/D37*100</f>
        <v>1.3707834968418222</v>
      </c>
      <c r="F40" s="132">
        <v>90</v>
      </c>
      <c r="G40" s="211">
        <f>SUM(F40)/F37*100</f>
        <v>1.6483516483516485</v>
      </c>
    </row>
    <row r="41" spans="2:7" x14ac:dyDescent="0.25">
      <c r="B41" s="192" t="s">
        <v>209</v>
      </c>
      <c r="C41" s="193">
        <v>74</v>
      </c>
      <c r="D41" s="132">
        <v>606</v>
      </c>
      <c r="E41" s="211">
        <f>SUM(D41)/D37*100</f>
        <v>8.1440666577072971</v>
      </c>
      <c r="F41" s="132">
        <v>525</v>
      </c>
      <c r="G41" s="211">
        <f>SUM(F41)/F37*100</f>
        <v>9.6153846153846168</v>
      </c>
    </row>
    <row r="42" spans="2:7" ht="30" x14ac:dyDescent="0.25">
      <c r="B42" s="192" t="s">
        <v>210</v>
      </c>
      <c r="C42" s="193">
        <v>75</v>
      </c>
      <c r="D42" s="132">
        <v>1400</v>
      </c>
      <c r="E42" s="211">
        <f>SUM(D42)/D37*100</f>
        <v>18.814675446848543</v>
      </c>
      <c r="F42" s="132">
        <v>1066</v>
      </c>
      <c r="G42" s="211">
        <f>SUM(F42)/F37*100</f>
        <v>19.523809523809526</v>
      </c>
    </row>
    <row r="43" spans="2:7" x14ac:dyDescent="0.25">
      <c r="B43" s="693" t="s">
        <v>174</v>
      </c>
      <c r="C43" s="692">
        <v>8</v>
      </c>
      <c r="D43" s="691">
        <f>SUM(D44:D46)</f>
        <v>2782</v>
      </c>
      <c r="E43" s="690">
        <f>SUM(D43)/D59*100</f>
        <v>10.078614643335868</v>
      </c>
      <c r="F43" s="691">
        <f>SUM(F44:F46)</f>
        <v>2783</v>
      </c>
      <c r="G43" s="690">
        <f>SUM(F43)/F59*100</f>
        <v>11.777401608125263</v>
      </c>
    </row>
    <row r="44" spans="2:7" x14ac:dyDescent="0.25">
      <c r="B44" s="192" t="s">
        <v>211</v>
      </c>
      <c r="C44" s="193">
        <v>81</v>
      </c>
      <c r="D44" s="132">
        <v>1474</v>
      </c>
      <c r="E44" s="211">
        <f>SUM(D44)/D43*100</f>
        <v>52.983465132997843</v>
      </c>
      <c r="F44" s="132">
        <v>1606</v>
      </c>
      <c r="G44" s="211">
        <f>SUM(F44)/F43*100</f>
        <v>57.707509881422922</v>
      </c>
    </row>
    <row r="45" spans="2:7" x14ac:dyDescent="0.25">
      <c r="B45" s="192" t="s">
        <v>212</v>
      </c>
      <c r="C45" s="193">
        <v>82</v>
      </c>
      <c r="D45" s="193">
        <v>222</v>
      </c>
      <c r="E45" s="211">
        <f>SUM(D45)/D43*100</f>
        <v>7.9798705966930266</v>
      </c>
      <c r="F45" s="193">
        <v>111</v>
      </c>
      <c r="G45" s="211">
        <f>SUM(F45)/F43*100</f>
        <v>3.9885016169601148</v>
      </c>
    </row>
    <row r="46" spans="2:7" x14ac:dyDescent="0.25">
      <c r="B46" s="192" t="s">
        <v>213</v>
      </c>
      <c r="C46" s="193">
        <v>83</v>
      </c>
      <c r="D46" s="132">
        <v>1086</v>
      </c>
      <c r="E46" s="211">
        <f>SUM(D46)/D43*100</f>
        <v>39.036664270309132</v>
      </c>
      <c r="F46" s="132">
        <v>1066</v>
      </c>
      <c r="G46" s="211">
        <f>SUM(F46)/F43*100</f>
        <v>38.303988501616956</v>
      </c>
    </row>
    <row r="47" spans="2:7" x14ac:dyDescent="0.25">
      <c r="B47" s="693" t="s">
        <v>175</v>
      </c>
      <c r="C47" s="692">
        <v>9</v>
      </c>
      <c r="D47" s="691">
        <f>SUM(D48:D53)</f>
        <v>4397</v>
      </c>
      <c r="E47" s="690">
        <f>SUM(D47)/D59*100</f>
        <v>15.929427960728907</v>
      </c>
      <c r="F47" s="691">
        <f>SUM(F48:F53)</f>
        <v>3341</v>
      </c>
      <c r="G47" s="690">
        <f>SUM(F47)/F59*100</f>
        <v>14.138806601777402</v>
      </c>
    </row>
    <row r="48" spans="2:7" x14ac:dyDescent="0.25">
      <c r="B48" s="192" t="s">
        <v>214</v>
      </c>
      <c r="C48" s="193">
        <v>91</v>
      </c>
      <c r="D48" s="132">
        <v>896</v>
      </c>
      <c r="E48" s="211">
        <f>SUM(D48)/D47*100</f>
        <v>20.377530134182397</v>
      </c>
      <c r="F48" s="132">
        <v>755</v>
      </c>
      <c r="G48" s="211">
        <f>SUM(F48)/F47*100</f>
        <v>22.598024543549837</v>
      </c>
    </row>
    <row r="49" spans="2:7" ht="30" x14ac:dyDescent="0.25">
      <c r="B49" s="192" t="s">
        <v>215</v>
      </c>
      <c r="C49" s="193">
        <v>92</v>
      </c>
      <c r="D49" s="193">
        <v>253</v>
      </c>
      <c r="E49" s="211">
        <f>SUM(D49)/D47*100</f>
        <v>5.7539231294064139</v>
      </c>
      <c r="F49" s="193">
        <v>127</v>
      </c>
      <c r="G49" s="211">
        <f>SUM(F49)/F47*100</f>
        <v>3.8012571086501046</v>
      </c>
    </row>
    <row r="50" spans="2:7" ht="30" x14ac:dyDescent="0.25">
      <c r="B50" s="192" t="s">
        <v>216</v>
      </c>
      <c r="C50" s="193">
        <v>93</v>
      </c>
      <c r="D50" s="132">
        <v>2043</v>
      </c>
      <c r="E50" s="211">
        <f>SUM(D50)/D47*100</f>
        <v>46.463497839435981</v>
      </c>
      <c r="F50" s="132">
        <v>1409</v>
      </c>
      <c r="G50" s="211">
        <f>SUM(F50)/F47*100</f>
        <v>42.173002095181083</v>
      </c>
    </row>
    <row r="51" spans="2:7" ht="30" x14ac:dyDescent="0.25">
      <c r="B51" s="192" t="s">
        <v>217</v>
      </c>
      <c r="C51" s="193">
        <v>94</v>
      </c>
      <c r="D51" s="193">
        <v>720</v>
      </c>
      <c r="E51" s="211">
        <f>SUM(D51)/D47*100</f>
        <v>16.374801000682286</v>
      </c>
      <c r="F51" s="193">
        <v>729</v>
      </c>
      <c r="G51" s="211">
        <f>SUM(F51)/F47*100</f>
        <v>21.819814426818319</v>
      </c>
    </row>
    <row r="52" spans="2:7" x14ac:dyDescent="0.25">
      <c r="B52" s="192" t="s">
        <v>218</v>
      </c>
      <c r="C52" s="193">
        <v>95</v>
      </c>
      <c r="D52" s="193">
        <v>0</v>
      </c>
      <c r="E52" s="211">
        <f>SUM(D52)/D47*100</f>
        <v>0</v>
      </c>
      <c r="F52" s="193">
        <v>0</v>
      </c>
      <c r="G52" s="211">
        <f>SUM(F52)/F47*100</f>
        <v>0</v>
      </c>
    </row>
    <row r="53" spans="2:7" x14ac:dyDescent="0.25">
      <c r="B53" s="192" t="s">
        <v>219</v>
      </c>
      <c r="C53" s="193">
        <v>96</v>
      </c>
      <c r="D53" s="132">
        <v>485</v>
      </c>
      <c r="E53" s="211">
        <f>SUM(D53)/D47*100</f>
        <v>11.030247896292927</v>
      </c>
      <c r="F53" s="132">
        <v>321</v>
      </c>
      <c r="G53" s="211">
        <f>SUM(F53)/F47*100</f>
        <v>9.6079018258006599</v>
      </c>
    </row>
    <row r="54" spans="2:7" x14ac:dyDescent="0.25">
      <c r="B54" s="693" t="s">
        <v>182</v>
      </c>
      <c r="C54" s="692">
        <v>0</v>
      </c>
      <c r="D54" s="692">
        <f>SUM(D55:D57)</f>
        <v>0</v>
      </c>
      <c r="E54" s="690">
        <f>SUM(D54)/D59*100</f>
        <v>0</v>
      </c>
      <c r="F54" s="692">
        <f>SUM(F55:F57)</f>
        <v>0</v>
      </c>
      <c r="G54" s="690">
        <f>SUM(F54)/F59*100</f>
        <v>0</v>
      </c>
    </row>
    <row r="55" spans="2:7" x14ac:dyDescent="0.25">
      <c r="B55" s="192" t="s">
        <v>220</v>
      </c>
      <c r="C55" s="193">
        <v>1</v>
      </c>
      <c r="D55" s="193">
        <v>0</v>
      </c>
      <c r="E55" s="295" t="s">
        <v>93</v>
      </c>
      <c r="F55" s="193">
        <v>0</v>
      </c>
      <c r="G55" s="295" t="s">
        <v>93</v>
      </c>
    </row>
    <row r="56" spans="2:7" x14ac:dyDescent="0.25">
      <c r="B56" s="192" t="s">
        <v>221</v>
      </c>
      <c r="C56" s="193">
        <v>2</v>
      </c>
      <c r="D56" s="193">
        <v>0</v>
      </c>
      <c r="E56" s="295" t="s">
        <v>93</v>
      </c>
      <c r="F56" s="193">
        <v>0</v>
      </c>
      <c r="G56" s="295" t="s">
        <v>93</v>
      </c>
    </row>
    <row r="57" spans="2:7" ht="15.75" thickBot="1" x14ac:dyDescent="0.3">
      <c r="B57" s="194" t="s">
        <v>222</v>
      </c>
      <c r="C57" s="189">
        <v>3</v>
      </c>
      <c r="D57" s="189">
        <v>0</v>
      </c>
      <c r="E57" s="296" t="s">
        <v>93</v>
      </c>
      <c r="F57" s="189">
        <v>0</v>
      </c>
      <c r="G57" s="296" t="s">
        <v>93</v>
      </c>
    </row>
    <row r="58" spans="2:7" x14ac:dyDescent="0.25">
      <c r="B58" s="216" t="s">
        <v>226</v>
      </c>
      <c r="C58" s="217" t="s">
        <v>161</v>
      </c>
      <c r="D58" s="218">
        <v>0</v>
      </c>
      <c r="E58" s="228">
        <f>SUM(D58)/D60*100</f>
        <v>0</v>
      </c>
      <c r="F58" s="218">
        <v>0</v>
      </c>
      <c r="G58" s="228">
        <f>SUM(F58)/F60*100</f>
        <v>0</v>
      </c>
    </row>
    <row r="59" spans="2:7" ht="15.75" thickBot="1" x14ac:dyDescent="0.3">
      <c r="B59" s="219" t="s">
        <v>227</v>
      </c>
      <c r="C59" s="220" t="s">
        <v>162</v>
      </c>
      <c r="D59" s="221">
        <f>SUM(D5,D10,D17,D23,D28,D33,D37,D43,D47,D54)</f>
        <v>27603</v>
      </c>
      <c r="E59" s="231">
        <f>SUM(E5,E10,E17,E23,E28,E33,E37,E43,E47,E54)</f>
        <v>100</v>
      </c>
      <c r="F59" s="221">
        <f>SUM(F5,F10,F17,F23,F28,F33,F37,F43,F47,F54)</f>
        <v>23630</v>
      </c>
      <c r="G59" s="231">
        <f>SUM(G5,G10,G17,G23,G28,G33,G37,G43,G47,G54)</f>
        <v>100</v>
      </c>
    </row>
    <row r="60" spans="2:7" ht="19.5" thickBot="1" x14ac:dyDescent="0.3">
      <c r="B60" s="694" t="s">
        <v>50</v>
      </c>
      <c r="C60" s="695" t="s">
        <v>163</v>
      </c>
      <c r="D60" s="696">
        <f>SUM(D58:D59)</f>
        <v>27603</v>
      </c>
      <c r="E60" s="697" t="s">
        <v>93</v>
      </c>
      <c r="F60" s="696">
        <f>SUM(F58:F59)</f>
        <v>23630</v>
      </c>
      <c r="G60" s="697" t="s">
        <v>93</v>
      </c>
    </row>
    <row r="61" spans="2:7" x14ac:dyDescent="0.25">
      <c r="B61" s="197" t="s">
        <v>434</v>
      </c>
      <c r="C61" s="197"/>
      <c r="D61" s="197"/>
      <c r="E61" s="197"/>
    </row>
    <row r="62" spans="2:7" x14ac:dyDescent="0.25">
      <c r="B62" s="11" t="s">
        <v>429</v>
      </c>
      <c r="C62" s="11"/>
      <c r="D62" s="11"/>
      <c r="E62" s="11"/>
    </row>
    <row r="63" spans="2:7" x14ac:dyDescent="0.25">
      <c r="B63" s="11" t="s">
        <v>435</v>
      </c>
      <c r="C63" s="11"/>
      <c r="D63" s="11"/>
      <c r="E63" s="11"/>
    </row>
  </sheetData>
  <printOptions horizontalCentered="1"/>
  <pageMargins left="0" right="0" top="0.6692913385826772" bottom="0" header="0" footer="0"/>
  <pageSetup paperSize="9" scale="7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5" tint="0.59999389629810485"/>
  </sheetPr>
  <dimension ref="B1:V48"/>
  <sheetViews>
    <sheetView zoomScale="50" zoomScaleNormal="50" workbookViewId="0">
      <selection activeCell="B1" sqref="B1"/>
    </sheetView>
  </sheetViews>
  <sheetFormatPr defaultRowHeight="15" x14ac:dyDescent="0.25"/>
  <cols>
    <col min="1" max="1" width="2.5703125" style="78" customWidth="1"/>
    <col min="2" max="2" width="83.42578125" style="298" customWidth="1"/>
    <col min="3" max="3" width="18" style="78" customWidth="1"/>
    <col min="4" max="4" width="18.5703125" style="78" customWidth="1"/>
    <col min="5" max="5" width="4" style="476" customWidth="1"/>
    <col min="6" max="6" width="15.85546875" style="78" customWidth="1"/>
    <col min="7" max="7" width="16.5703125" style="78" customWidth="1"/>
    <col min="8" max="8" width="17" style="78" customWidth="1"/>
    <col min="9" max="9" width="3.28515625" style="476" customWidth="1"/>
    <col min="10" max="10" width="15.7109375" style="78" customWidth="1"/>
    <col min="11" max="11" width="16.7109375" style="78" customWidth="1"/>
    <col min="12" max="12" width="17" style="78" customWidth="1"/>
    <col min="13" max="13" width="3.42578125" style="78" customWidth="1"/>
    <col min="14" max="14" width="17.5703125" style="78" customWidth="1"/>
    <col min="15" max="15" width="14.7109375" style="78" customWidth="1"/>
    <col min="16" max="16" width="15.42578125" style="78" customWidth="1"/>
    <col min="17" max="16384" width="9.140625" style="78"/>
  </cols>
  <sheetData>
    <row r="1" spans="2:22" x14ac:dyDescent="0.25">
      <c r="B1" s="11" t="s">
        <v>478</v>
      </c>
      <c r="C1" s="1"/>
      <c r="V1" s="11"/>
    </row>
    <row r="2" spans="2:22" ht="12.75" customHeight="1" x14ac:dyDescent="0.25">
      <c r="B2" s="11" t="s">
        <v>449</v>
      </c>
      <c r="C2" s="1"/>
    </row>
    <row r="3" spans="2:22" ht="15.75" customHeight="1" x14ac:dyDescent="0.25">
      <c r="B3" s="384" t="s">
        <v>450</v>
      </c>
    </row>
    <row r="4" spans="2:22" ht="15" customHeight="1" x14ac:dyDescent="0.25">
      <c r="B4" s="384" t="s">
        <v>451</v>
      </c>
    </row>
    <row r="5" spans="2:22" ht="18" customHeight="1" x14ac:dyDescent="0.25">
      <c r="B5" s="384" t="s">
        <v>452</v>
      </c>
    </row>
    <row r="6" spans="2:22" ht="16.5" customHeight="1" thickBot="1" x14ac:dyDescent="0.3">
      <c r="B6" s="384" t="s">
        <v>358</v>
      </c>
    </row>
    <row r="7" spans="2:22" ht="48" customHeight="1" thickBot="1" x14ac:dyDescent="0.3">
      <c r="B7" s="1037" t="s">
        <v>141</v>
      </c>
      <c r="C7" s="648" t="s">
        <v>477</v>
      </c>
      <c r="D7" s="649" t="s">
        <v>515</v>
      </c>
      <c r="E7" s="390"/>
      <c r="F7" s="1040" t="s">
        <v>516</v>
      </c>
      <c r="G7" s="1041"/>
      <c r="H7" s="1042"/>
      <c r="I7" s="390"/>
      <c r="J7" s="1040" t="s">
        <v>517</v>
      </c>
      <c r="K7" s="1041"/>
      <c r="L7" s="1042"/>
    </row>
    <row r="8" spans="2:22" ht="71.25" customHeight="1" thickBot="1" x14ac:dyDescent="0.3">
      <c r="B8" s="1038"/>
      <c r="C8" s="1043" t="s">
        <v>453</v>
      </c>
      <c r="D8" s="1044"/>
      <c r="E8" s="390"/>
      <c r="F8" s="1043" t="s">
        <v>454</v>
      </c>
      <c r="G8" s="1045"/>
      <c r="H8" s="1044"/>
      <c r="I8" s="477"/>
      <c r="J8" s="1043" t="s">
        <v>454</v>
      </c>
      <c r="K8" s="1045"/>
      <c r="L8" s="1044"/>
    </row>
    <row r="9" spans="2:22" ht="134.25" customHeight="1" thickBot="1" x14ac:dyDescent="0.3">
      <c r="B9" s="1039"/>
      <c r="C9" s="650" t="s">
        <v>165</v>
      </c>
      <c r="D9" s="651" t="s">
        <v>165</v>
      </c>
      <c r="E9" s="390"/>
      <c r="F9" s="650" t="s">
        <v>370</v>
      </c>
      <c r="G9" s="652" t="s">
        <v>455</v>
      </c>
      <c r="H9" s="651" t="s">
        <v>456</v>
      </c>
      <c r="I9" s="390"/>
      <c r="J9" s="650" t="s">
        <v>370</v>
      </c>
      <c r="K9" s="652" t="s">
        <v>455</v>
      </c>
      <c r="L9" s="651" t="s">
        <v>456</v>
      </c>
    </row>
    <row r="10" spans="2:22" ht="42" customHeight="1" thickBot="1" x14ac:dyDescent="0.3">
      <c r="B10" s="385" t="s">
        <v>4</v>
      </c>
      <c r="C10" s="386">
        <f>C11+C12+C26</f>
        <v>214.77000000000004</v>
      </c>
      <c r="D10" s="478">
        <f>D11+D12+D26</f>
        <v>220.39999999999998</v>
      </c>
      <c r="E10" s="479"/>
      <c r="F10" s="524">
        <f>SUM(F11+F13+F23+F26)</f>
        <v>99.999999999999972</v>
      </c>
      <c r="G10" s="480" t="s">
        <v>93</v>
      </c>
      <c r="H10" s="387" t="s">
        <v>93</v>
      </c>
      <c r="I10" s="481"/>
      <c r="J10" s="482">
        <f>SUM(J11+J13+J23+J26)</f>
        <v>100.00000000000003</v>
      </c>
      <c r="K10" s="480" t="s">
        <v>93</v>
      </c>
      <c r="L10" s="387" t="s">
        <v>93</v>
      </c>
    </row>
    <row r="11" spans="2:22" ht="30" customHeight="1" x14ac:dyDescent="0.25">
      <c r="B11" s="653" t="s">
        <v>11</v>
      </c>
      <c r="C11" s="654">
        <v>85.37</v>
      </c>
      <c r="D11" s="655">
        <v>86.96</v>
      </c>
      <c r="E11" s="483"/>
      <c r="F11" s="656">
        <f>C11*100/C10</f>
        <v>39.749499464543455</v>
      </c>
      <c r="G11" s="657" t="s">
        <v>93</v>
      </c>
      <c r="H11" s="658" t="s">
        <v>93</v>
      </c>
      <c r="I11" s="484"/>
      <c r="J11" s="656">
        <f>D11*100/D10</f>
        <v>39.455535390199643</v>
      </c>
      <c r="K11" s="657" t="s">
        <v>93</v>
      </c>
      <c r="L11" s="658" t="s">
        <v>93</v>
      </c>
    </row>
    <row r="12" spans="2:22" ht="56.25" customHeight="1" thickBot="1" x14ac:dyDescent="0.3">
      <c r="B12" s="485" t="s">
        <v>457</v>
      </c>
      <c r="C12" s="395">
        <f>C15+C16+C17+C18+C19+C20+C21+C22+C23</f>
        <v>116.04</v>
      </c>
      <c r="D12" s="486">
        <f>D15+D16+D17+D18+D19+D20+D21+D22+D23</f>
        <v>117.49000000000001</v>
      </c>
      <c r="E12" s="388"/>
      <c r="F12" s="487">
        <f>SUM(C12*100)/C10</f>
        <v>54.02989244307863</v>
      </c>
      <c r="G12" s="488" t="s">
        <v>93</v>
      </c>
      <c r="H12" s="489">
        <f>SUM(H23)+H13</f>
        <v>100</v>
      </c>
      <c r="I12" s="490"/>
      <c r="J12" s="491">
        <f>SUM(D12*100)/D10</f>
        <v>53.307622504537214</v>
      </c>
      <c r="K12" s="488" t="s">
        <v>93</v>
      </c>
      <c r="L12" s="492">
        <f>SUM(L23)+L13</f>
        <v>100</v>
      </c>
    </row>
    <row r="13" spans="2:22" ht="48" customHeight="1" thickBot="1" x14ac:dyDescent="0.3">
      <c r="B13" s="664" t="s">
        <v>458</v>
      </c>
      <c r="C13" s="663">
        <f>C15+C16+C17+C18+C19+C20+C21+C22</f>
        <v>114.68</v>
      </c>
      <c r="D13" s="662">
        <f>D15+D16+D17+D18+D19+D20+D21+D22</f>
        <v>117.44000000000001</v>
      </c>
      <c r="E13" s="388"/>
      <c r="F13" s="661">
        <f>C13*100/C10</f>
        <v>53.396656888764717</v>
      </c>
      <c r="G13" s="660">
        <f>SUM(G15:G22)</f>
        <v>100</v>
      </c>
      <c r="H13" s="659">
        <f>SUM(C13/C12*100)</f>
        <v>98.827990348155808</v>
      </c>
      <c r="I13" s="490"/>
      <c r="J13" s="661">
        <f>D13*100/D10</f>
        <v>53.284936479128874</v>
      </c>
      <c r="K13" s="660">
        <f>SUM(K15:K22)</f>
        <v>99.999999999999986</v>
      </c>
      <c r="L13" s="659">
        <f>SUM(D13/D12*100)</f>
        <v>99.957443186654189</v>
      </c>
    </row>
    <row r="14" spans="2:22" ht="25.5" customHeight="1" thickBot="1" x14ac:dyDescent="0.3">
      <c r="B14" s="493" t="s">
        <v>245</v>
      </c>
      <c r="C14" s="494"/>
      <c r="D14" s="495"/>
      <c r="E14" s="390"/>
      <c r="F14" s="1034" t="s">
        <v>245</v>
      </c>
      <c r="G14" s="1035"/>
      <c r="H14" s="1036"/>
      <c r="I14" s="389"/>
      <c r="J14" s="1034" t="s">
        <v>245</v>
      </c>
      <c r="K14" s="1035"/>
      <c r="L14" s="1036"/>
      <c r="N14" s="523" t="str">
        <f>IF(C10=N16,"sumuje się do grand total","fausz")</f>
        <v>sumuje się do grand total</v>
      </c>
      <c r="O14" s="523" t="str">
        <f>IF(D10=O16,"sumuje się do grand total","fausz")</f>
        <v>sumuje się do grand total</v>
      </c>
    </row>
    <row r="15" spans="2:22" ht="30" customHeight="1" x14ac:dyDescent="0.25">
      <c r="B15" s="391" t="s">
        <v>459</v>
      </c>
      <c r="C15" s="680">
        <v>32.42</v>
      </c>
      <c r="D15" s="876">
        <v>28.34</v>
      </c>
      <c r="E15" s="483"/>
      <c r="F15" s="496">
        <f>C15*100/C10</f>
        <v>15.09521814033617</v>
      </c>
      <c r="G15" s="497">
        <f>C15/C13*100</f>
        <v>28.269968608301362</v>
      </c>
      <c r="H15" s="498">
        <f>SUM(C15)/C12*100</f>
        <v>27.938641847638745</v>
      </c>
      <c r="I15" s="490"/>
      <c r="J15" s="496">
        <f>D15*100/D10</f>
        <v>12.858439201451906</v>
      </c>
      <c r="K15" s="497">
        <f>SUM(D15)/D13*100</f>
        <v>24.131471389645771</v>
      </c>
      <c r="L15" s="499">
        <f>SUM(D15)/D12*100</f>
        <v>24.121201804408884</v>
      </c>
      <c r="N15" s="681" t="str">
        <f>T(C7)</f>
        <v>w I półroczu 2022 roku</v>
      </c>
      <c r="O15" s="681" t="str">
        <f>T(D7)</f>
        <v>w I półroczu 2023 roku</v>
      </c>
    </row>
    <row r="16" spans="2:22" ht="32.25" customHeight="1" x14ac:dyDescent="0.25">
      <c r="B16" s="392" t="s">
        <v>460</v>
      </c>
      <c r="C16" s="679">
        <v>1.3</v>
      </c>
      <c r="D16" s="877">
        <v>1.91</v>
      </c>
      <c r="E16" s="390"/>
      <c r="F16" s="500">
        <f>C16*100/C10</f>
        <v>0.60529869162359717</v>
      </c>
      <c r="G16" s="501">
        <f>C16/C13*100</f>
        <v>1.1335891175444714</v>
      </c>
      <c r="H16" s="502">
        <f>SUM(C16)/C12*100</f>
        <v>1.1203033436745951</v>
      </c>
      <c r="I16" s="490"/>
      <c r="J16" s="500">
        <f>D16*100/D10</f>
        <v>0.86660617059891121</v>
      </c>
      <c r="K16" s="501">
        <f>SUM(D16)/D13*100</f>
        <v>1.6263623978201631</v>
      </c>
      <c r="L16" s="503">
        <f>SUM(D16)/D12*100</f>
        <v>1.6256702698101964</v>
      </c>
      <c r="N16" s="518">
        <f>SUM(C11+C12+C26)</f>
        <v>214.77000000000004</v>
      </c>
      <c r="O16" s="518">
        <f>SUM(D11+D12+D26)</f>
        <v>220.39999999999998</v>
      </c>
    </row>
    <row r="17" spans="2:15" ht="39" customHeight="1" x14ac:dyDescent="0.25">
      <c r="B17" s="393" t="s">
        <v>461</v>
      </c>
      <c r="C17" s="679">
        <v>11.2</v>
      </c>
      <c r="D17" s="878">
        <v>11.61</v>
      </c>
      <c r="E17" s="504"/>
      <c r="F17" s="500">
        <f>C17*100/C10</f>
        <v>5.2148810355263757</v>
      </c>
      <c r="G17" s="501">
        <f>C17/C13*100</f>
        <v>9.7663062434600612</v>
      </c>
      <c r="H17" s="502">
        <f>SUM(C17)/C12*100</f>
        <v>9.6518441916580482</v>
      </c>
      <c r="I17" s="490"/>
      <c r="J17" s="500">
        <f>D17*100/D10</f>
        <v>5.2676950998185124</v>
      </c>
      <c r="K17" s="501">
        <f>SUM(D17)/D13*100</f>
        <v>9.885899182561305</v>
      </c>
      <c r="L17" s="503">
        <f>SUM(D17)/D12*100</f>
        <v>9.8816920588986275</v>
      </c>
      <c r="N17" s="518">
        <f>SUM(F11+F12+F26)</f>
        <v>99.999999999999972</v>
      </c>
      <c r="O17" s="518">
        <f>SUM(J11+J12+J26)</f>
        <v>100.00000000000001</v>
      </c>
    </row>
    <row r="18" spans="2:15" ht="30" customHeight="1" x14ac:dyDescent="0.25">
      <c r="B18" s="393" t="s">
        <v>462</v>
      </c>
      <c r="C18" s="679">
        <v>9.9600000000000009</v>
      </c>
      <c r="D18" s="879">
        <v>12.08</v>
      </c>
      <c r="E18" s="390"/>
      <c r="F18" s="500">
        <f>C18*100/C10</f>
        <v>4.6375192065930992</v>
      </c>
      <c r="G18" s="501">
        <f>C18/C13*100</f>
        <v>8.6850366236484131</v>
      </c>
      <c r="H18" s="502">
        <f>SUM(C18)/C12*100</f>
        <v>8.5832471561530514</v>
      </c>
      <c r="I18" s="490"/>
      <c r="J18" s="500">
        <f>D18*100/D10</f>
        <v>5.4809437386569879</v>
      </c>
      <c r="K18" s="501">
        <f>SUM(D18)/D13*100</f>
        <v>10.286103542234331</v>
      </c>
      <c r="L18" s="503">
        <f>SUM(D18)/D12*100</f>
        <v>10.281726104349305</v>
      </c>
      <c r="N18" s="519">
        <f>SUM(F15:F22)</f>
        <v>53.396656888764717</v>
      </c>
      <c r="O18" s="519">
        <f>SUM(J15:J22)</f>
        <v>53.284936479128874</v>
      </c>
    </row>
    <row r="19" spans="2:15" ht="36" customHeight="1" x14ac:dyDescent="0.25">
      <c r="B19" s="393" t="s">
        <v>463</v>
      </c>
      <c r="C19" s="678">
        <v>27.77</v>
      </c>
      <c r="D19" s="879">
        <v>33.03</v>
      </c>
      <c r="E19" s="390"/>
      <c r="F19" s="500">
        <f>C19*100/C10</f>
        <v>12.93011128183638</v>
      </c>
      <c r="G19" s="501">
        <f>C19/C13*100</f>
        <v>24.215207534007671</v>
      </c>
      <c r="H19" s="502">
        <f>SUM(C19)/C12*100</f>
        <v>23.931402964495</v>
      </c>
      <c r="I19" s="490"/>
      <c r="J19" s="500">
        <f>D19*100/D10</f>
        <v>14.986388384754992</v>
      </c>
      <c r="K19" s="501">
        <f>SUM(D19)/D13*100</f>
        <v>28.125</v>
      </c>
      <c r="L19" s="503">
        <f>SUM(D19)/D12*100</f>
        <v>28.113030896246489</v>
      </c>
      <c r="N19" s="519">
        <f>SUM(G15:G22)</f>
        <v>100</v>
      </c>
      <c r="O19" s="519">
        <f>SUM(K15:K22)</f>
        <v>99.999999999999986</v>
      </c>
    </row>
    <row r="20" spans="2:15" ht="47.25" customHeight="1" x14ac:dyDescent="0.25">
      <c r="B20" s="393" t="s">
        <v>464</v>
      </c>
      <c r="C20" s="679">
        <v>19.87</v>
      </c>
      <c r="D20" s="879">
        <v>14.76</v>
      </c>
      <c r="E20" s="390"/>
      <c r="F20" s="500">
        <f>C20*100/C10</f>
        <v>9.2517576942775968</v>
      </c>
      <c r="G20" s="501">
        <f>C20/C13*100</f>
        <v>17.326473665852806</v>
      </c>
      <c r="H20" s="502">
        <f>SUM(C20)/C12*100</f>
        <v>17.123405722164769</v>
      </c>
      <c r="I20" s="490"/>
      <c r="J20" s="500">
        <f>D20*100/D10</f>
        <v>6.6969147005444656</v>
      </c>
      <c r="K20" s="501">
        <f>SUM(D20)/D13*100</f>
        <v>12.568119891008173</v>
      </c>
      <c r="L20" s="503">
        <f>SUM(D20)/D12*100</f>
        <v>12.562771299685076</v>
      </c>
      <c r="N20" s="520">
        <f>SUM(H15:H22)</f>
        <v>98.827990348155794</v>
      </c>
      <c r="O20" s="521">
        <f>SUM(L15:L22)</f>
        <v>99.957443186654174</v>
      </c>
    </row>
    <row r="21" spans="2:15" ht="33" customHeight="1" x14ac:dyDescent="0.25">
      <c r="B21" s="393" t="s">
        <v>465</v>
      </c>
      <c r="C21" s="678">
        <v>0.86</v>
      </c>
      <c r="D21" s="879">
        <v>1.01</v>
      </c>
      <c r="E21" s="390"/>
      <c r="F21" s="500">
        <f>C21*100/C10</f>
        <v>0.40042836522791819</v>
      </c>
      <c r="G21" s="501">
        <f>C21/C13*100</f>
        <v>0.74991280083711187</v>
      </c>
      <c r="H21" s="502">
        <f>SUM(C21)/C12*100</f>
        <v>0.74112375043088585</v>
      </c>
      <c r="I21" s="490"/>
      <c r="J21" s="500">
        <f>D21*100/D10</f>
        <v>0.4582577132486389</v>
      </c>
      <c r="K21" s="501">
        <f>SUM(D21)/D13*100</f>
        <v>0.86001362397820147</v>
      </c>
      <c r="L21" s="503">
        <f>SUM(D21)/D12*100</f>
        <v>0.85964762958549656</v>
      </c>
      <c r="N21" s="522">
        <f>SUM(H24:H25)</f>
        <v>1.1720096518441918</v>
      </c>
      <c r="O21" s="519">
        <f>SUM(L24:L25)</f>
        <v>4.2556813345816666E-2</v>
      </c>
    </row>
    <row r="22" spans="2:15" ht="37.5" customHeight="1" thickBot="1" x14ac:dyDescent="0.3">
      <c r="B22" s="394" t="s">
        <v>466</v>
      </c>
      <c r="C22" s="679">
        <v>11.3</v>
      </c>
      <c r="D22" s="877">
        <v>14.7</v>
      </c>
      <c r="E22" s="483"/>
      <c r="F22" s="500">
        <f>C22*100/C10</f>
        <v>5.2614424733435756</v>
      </c>
      <c r="G22" s="501">
        <f>C22/C13*100</f>
        <v>9.8535054063481002</v>
      </c>
      <c r="H22" s="502">
        <f>SUM(C22)/C12*100</f>
        <v>9.7380213719407092</v>
      </c>
      <c r="I22" s="490"/>
      <c r="J22" s="500">
        <f>D22*100/D10</f>
        <v>6.6696914700544472</v>
      </c>
      <c r="K22" s="501">
        <f>SUM(D22)/D13*100</f>
        <v>12.517029972752042</v>
      </c>
      <c r="L22" s="503">
        <f>SUM(D22)/D12*100</f>
        <v>12.511703123670099</v>
      </c>
    </row>
    <row r="23" spans="2:15" ht="51" customHeight="1" x14ac:dyDescent="0.25">
      <c r="B23" s="665" t="s">
        <v>467</v>
      </c>
      <c r="C23" s="666">
        <f>SUM(C24+C25)</f>
        <v>1.36</v>
      </c>
      <c r="D23" s="667">
        <f>SUM(D24+D25)</f>
        <v>0.05</v>
      </c>
      <c r="E23" s="505"/>
      <c r="F23" s="668">
        <f>SUM(C23/C10)*100</f>
        <v>0.63323555431391709</v>
      </c>
      <c r="G23" s="669" t="s">
        <v>93</v>
      </c>
      <c r="H23" s="670">
        <f>SUM(C23)/C12*100</f>
        <v>1.1720096518441918</v>
      </c>
      <c r="I23" s="484"/>
      <c r="J23" s="1050">
        <f>SUM(D23/D10)*100</f>
        <v>2.2686025408348461E-2</v>
      </c>
      <c r="K23" s="671" t="s">
        <v>93</v>
      </c>
      <c r="L23" s="672">
        <f>SUM(D23)/D12*100</f>
        <v>4.2556813345816666E-2</v>
      </c>
      <c r="N23" s="506">
        <f>SUM(C13/C10)*100</f>
        <v>53.396656888764717</v>
      </c>
      <c r="O23" s="506">
        <f>SUM(D13/D10)*100</f>
        <v>53.284936479128866</v>
      </c>
    </row>
    <row r="24" spans="2:15" ht="71.25" customHeight="1" x14ac:dyDescent="0.25">
      <c r="B24" s="507" t="s">
        <v>468</v>
      </c>
      <c r="C24" s="678">
        <v>1.36</v>
      </c>
      <c r="D24" s="877">
        <v>0.05</v>
      </c>
      <c r="E24" s="483"/>
      <c r="F24" s="508">
        <f>C24*100/C10</f>
        <v>0.63323555431391709</v>
      </c>
      <c r="G24" s="509" t="s">
        <v>93</v>
      </c>
      <c r="H24" s="510">
        <f>SUM(C24)/C12*100</f>
        <v>1.1720096518441918</v>
      </c>
      <c r="I24" s="484"/>
      <c r="J24" s="1051">
        <f>D24*100/D10</f>
        <v>2.2686025408348461E-2</v>
      </c>
      <c r="K24" s="511" t="s">
        <v>93</v>
      </c>
      <c r="L24" s="503">
        <f>SUM(D24)/D12*100</f>
        <v>4.2556813345816666E-2</v>
      </c>
      <c r="N24" s="506">
        <f>SUM(C23/C10)*100</f>
        <v>0.63323555431391709</v>
      </c>
      <c r="O24" s="506">
        <f>SUM(D23/D10)*100</f>
        <v>2.2686025408348461E-2</v>
      </c>
    </row>
    <row r="25" spans="2:15" ht="66.75" customHeight="1" thickBot="1" x14ac:dyDescent="0.3">
      <c r="B25" s="512" t="s">
        <v>469</v>
      </c>
      <c r="C25" s="395">
        <v>0</v>
      </c>
      <c r="D25" s="880">
        <v>0</v>
      </c>
      <c r="E25" s="483"/>
      <c r="F25" s="513">
        <f>C25*100/C10</f>
        <v>0</v>
      </c>
      <c r="G25" s="514" t="s">
        <v>93</v>
      </c>
      <c r="H25" s="515">
        <f>SUM(C25)/C12*100</f>
        <v>0</v>
      </c>
      <c r="I25" s="484"/>
      <c r="J25" s="1052">
        <f>D25*100/D10</f>
        <v>0</v>
      </c>
      <c r="K25" s="514" t="s">
        <v>93</v>
      </c>
      <c r="L25" s="516">
        <f>SUM(D25)/D12*100</f>
        <v>0</v>
      </c>
      <c r="N25" s="506">
        <f>SUM(N23:N24)</f>
        <v>54.029892443078637</v>
      </c>
      <c r="O25" s="506">
        <f>SUM(O23:O24)</f>
        <v>53.307622504537214</v>
      </c>
    </row>
    <row r="26" spans="2:15" ht="39.75" customHeight="1" thickBot="1" x14ac:dyDescent="0.3">
      <c r="B26" s="676" t="s">
        <v>12</v>
      </c>
      <c r="C26" s="677">
        <v>13.36</v>
      </c>
      <c r="D26" s="651">
        <v>15.95</v>
      </c>
      <c r="E26" s="390"/>
      <c r="F26" s="675">
        <f>C26*100/C10</f>
        <v>6.2206080923778915</v>
      </c>
      <c r="G26" s="674" t="s">
        <v>93</v>
      </c>
      <c r="H26" s="673" t="s">
        <v>93</v>
      </c>
      <c r="I26" s="484"/>
      <c r="J26" s="675">
        <f>D26*100/D10</f>
        <v>7.2368421052631584</v>
      </c>
      <c r="K26" s="674" t="s">
        <v>93</v>
      </c>
      <c r="L26" s="673" t="s">
        <v>93</v>
      </c>
    </row>
    <row r="27" spans="2:15" ht="22.5" x14ac:dyDescent="0.3">
      <c r="B27" s="535" t="s">
        <v>480</v>
      </c>
      <c r="C27" s="536"/>
      <c r="D27" s="536"/>
      <c r="E27" s="537"/>
      <c r="F27" s="536"/>
      <c r="G27" s="536"/>
      <c r="H27" s="536"/>
      <c r="I27" s="537"/>
      <c r="J27" s="536"/>
      <c r="K27" s="536"/>
      <c r="L27" s="536"/>
    </row>
    <row r="28" spans="2:15" ht="22.5" x14ac:dyDescent="0.3">
      <c r="B28" s="535" t="s">
        <v>481</v>
      </c>
      <c r="C28" s="536"/>
      <c r="D28" s="536"/>
      <c r="E28" s="537"/>
      <c r="F28" s="536"/>
      <c r="G28" s="536"/>
      <c r="H28" s="536"/>
      <c r="I28" s="537"/>
      <c r="J28" s="536"/>
      <c r="K28" s="536"/>
      <c r="L28" s="536"/>
    </row>
    <row r="29" spans="2:15" ht="18.75" x14ac:dyDescent="0.3">
      <c r="B29" s="535" t="s">
        <v>470</v>
      </c>
      <c r="C29" s="536"/>
      <c r="D29" s="536"/>
      <c r="E29" s="537"/>
      <c r="F29" s="536"/>
      <c r="G29" s="536"/>
      <c r="H29" s="536"/>
      <c r="I29" s="537"/>
      <c r="J29" s="536"/>
      <c r="K29" s="536"/>
      <c r="L29" s="536"/>
    </row>
    <row r="30" spans="2:15" ht="18.75" x14ac:dyDescent="0.3">
      <c r="B30" s="538" t="s">
        <v>303</v>
      </c>
      <c r="C30" s="536"/>
      <c r="D30" s="536"/>
      <c r="E30" s="537"/>
      <c r="F30" s="536"/>
      <c r="G30" s="536"/>
      <c r="H30" s="536"/>
      <c r="I30" s="537"/>
      <c r="J30" s="536"/>
      <c r="K30" s="536"/>
      <c r="L30" s="536"/>
    </row>
    <row r="31" spans="2:15" ht="18.75" x14ac:dyDescent="0.3">
      <c r="B31" s="538" t="s">
        <v>471</v>
      </c>
      <c r="C31" s="536"/>
      <c r="D31" s="536"/>
      <c r="E31" s="537"/>
      <c r="F31" s="536"/>
      <c r="G31" s="536"/>
      <c r="H31" s="536"/>
      <c r="I31" s="537"/>
      <c r="J31" s="536"/>
      <c r="K31" s="536"/>
      <c r="L31" s="536"/>
    </row>
    <row r="32" spans="2:15" ht="18.75" x14ac:dyDescent="0.3">
      <c r="B32" s="535" t="s">
        <v>166</v>
      </c>
      <c r="C32" s="536"/>
      <c r="D32" s="536"/>
      <c r="E32" s="537"/>
      <c r="F32" s="536"/>
      <c r="G32" s="536"/>
      <c r="H32" s="536"/>
      <c r="I32" s="537"/>
      <c r="J32" s="536"/>
      <c r="K32" s="536"/>
      <c r="L32" s="536"/>
    </row>
    <row r="33" spans="2:12" ht="18.75" x14ac:dyDescent="0.3">
      <c r="B33" s="535" t="s">
        <v>260</v>
      </c>
      <c r="C33" s="536"/>
      <c r="D33" s="536"/>
      <c r="E33" s="536"/>
      <c r="F33" s="536"/>
      <c r="G33" s="536"/>
      <c r="H33" s="536"/>
      <c r="I33" s="536"/>
      <c r="J33" s="536"/>
      <c r="K33" s="536"/>
      <c r="L33" s="536"/>
    </row>
    <row r="34" spans="2:12" ht="18.75" x14ac:dyDescent="0.3">
      <c r="B34" s="539" t="s">
        <v>261</v>
      </c>
      <c r="C34" s="536"/>
      <c r="D34" s="536"/>
      <c r="E34" s="536"/>
      <c r="F34" s="536"/>
      <c r="G34" s="536"/>
      <c r="H34" s="536"/>
      <c r="I34" s="536"/>
      <c r="J34" s="536"/>
      <c r="K34" s="536"/>
      <c r="L34" s="536"/>
    </row>
    <row r="35" spans="2:12" ht="18.75" x14ac:dyDescent="0.3">
      <c r="B35" s="535" t="s">
        <v>359</v>
      </c>
      <c r="C35" s="536"/>
      <c r="D35" s="536"/>
      <c r="E35" s="536"/>
      <c r="F35" s="536"/>
      <c r="G35" s="536"/>
      <c r="H35" s="536"/>
      <c r="I35" s="536"/>
      <c r="J35" s="536"/>
      <c r="K35" s="536"/>
      <c r="L35" s="536"/>
    </row>
    <row r="36" spans="2:12" ht="18.75" x14ac:dyDescent="0.3">
      <c r="B36" s="539" t="s">
        <v>357</v>
      </c>
      <c r="C36" s="536"/>
      <c r="D36" s="536"/>
      <c r="E36" s="536"/>
      <c r="F36" s="536"/>
      <c r="G36" s="536"/>
      <c r="H36" s="536"/>
      <c r="I36" s="536"/>
      <c r="J36" s="536"/>
      <c r="K36" s="536"/>
      <c r="L36" s="536"/>
    </row>
    <row r="37" spans="2:12" ht="18.75" x14ac:dyDescent="0.3">
      <c r="B37" s="539" t="s">
        <v>472</v>
      </c>
      <c r="C37" s="536"/>
      <c r="D37" s="536"/>
      <c r="E37" s="536"/>
      <c r="F37" s="536"/>
      <c r="G37" s="536"/>
      <c r="H37" s="536"/>
      <c r="I37" s="536"/>
      <c r="J37" s="536"/>
      <c r="K37" s="536"/>
      <c r="L37" s="536"/>
    </row>
    <row r="38" spans="2:12" ht="18.75" x14ac:dyDescent="0.3">
      <c r="B38" s="539" t="s">
        <v>473</v>
      </c>
      <c r="C38" s="536"/>
      <c r="D38" s="536"/>
      <c r="E38" s="536"/>
      <c r="F38" s="536"/>
      <c r="G38" s="536"/>
      <c r="H38" s="536"/>
      <c r="I38" s="536"/>
      <c r="J38" s="536"/>
      <c r="K38" s="536"/>
      <c r="L38" s="536"/>
    </row>
    <row r="39" spans="2:12" ht="18.75" x14ac:dyDescent="0.3">
      <c r="B39" s="539" t="s">
        <v>482</v>
      </c>
      <c r="C39" s="536"/>
      <c r="D39" s="536"/>
      <c r="E39" s="536"/>
      <c r="F39" s="536"/>
      <c r="G39" s="536"/>
      <c r="H39" s="536"/>
      <c r="I39" s="536"/>
      <c r="J39" s="536"/>
      <c r="K39" s="536"/>
      <c r="L39" s="536"/>
    </row>
    <row r="40" spans="2:12" ht="18.75" x14ac:dyDescent="0.3">
      <c r="B40" s="539" t="s">
        <v>474</v>
      </c>
      <c r="C40" s="536"/>
      <c r="D40" s="536"/>
      <c r="E40" s="536"/>
      <c r="F40" s="536"/>
      <c r="G40" s="536"/>
      <c r="H40" s="536"/>
      <c r="I40" s="536"/>
      <c r="J40" s="536"/>
      <c r="K40" s="536"/>
      <c r="L40" s="536"/>
    </row>
    <row r="41" spans="2:12" ht="18.75" x14ac:dyDescent="0.3">
      <c r="B41" s="539" t="s">
        <v>483</v>
      </c>
      <c r="C41" s="536"/>
      <c r="D41" s="536"/>
      <c r="E41" s="536"/>
      <c r="F41" s="536"/>
      <c r="G41" s="536"/>
      <c r="H41" s="536"/>
      <c r="I41" s="536"/>
      <c r="J41" s="536"/>
      <c r="K41" s="536"/>
      <c r="L41" s="536"/>
    </row>
    <row r="42" spans="2:12" ht="18" customHeight="1" x14ac:dyDescent="0.3">
      <c r="B42" s="535" t="s">
        <v>484</v>
      </c>
      <c r="C42" s="536"/>
      <c r="D42" s="536"/>
      <c r="E42" s="536"/>
      <c r="F42" s="536"/>
      <c r="G42" s="536"/>
      <c r="H42" s="536"/>
      <c r="I42" s="536"/>
      <c r="J42" s="536"/>
      <c r="K42" s="536"/>
      <c r="L42" s="536"/>
    </row>
    <row r="43" spans="2:12" ht="18.75" x14ac:dyDescent="0.3">
      <c r="B43" s="535" t="s">
        <v>475</v>
      </c>
      <c r="C43" s="536"/>
      <c r="D43" s="536"/>
      <c r="E43" s="536"/>
      <c r="F43" s="536"/>
      <c r="G43" s="536"/>
      <c r="H43" s="536"/>
      <c r="I43" s="536"/>
      <c r="J43" s="536"/>
      <c r="K43" s="536"/>
      <c r="L43" s="536"/>
    </row>
    <row r="44" spans="2:12" ht="18.75" x14ac:dyDescent="0.3">
      <c r="B44" s="535" t="s">
        <v>476</v>
      </c>
      <c r="C44" s="536"/>
      <c r="D44" s="536"/>
      <c r="E44" s="536"/>
      <c r="F44" s="536"/>
      <c r="G44" s="536"/>
      <c r="H44" s="536"/>
      <c r="I44" s="536"/>
      <c r="J44" s="536"/>
      <c r="K44" s="536"/>
      <c r="L44" s="536"/>
    </row>
    <row r="45" spans="2:12" x14ac:dyDescent="0.25">
      <c r="B45" s="11"/>
      <c r="E45" s="78"/>
      <c r="I45" s="78"/>
    </row>
    <row r="46" spans="2:12" x14ac:dyDescent="0.25">
      <c r="B46" s="136"/>
      <c r="E46" s="78"/>
      <c r="I46" s="78"/>
    </row>
    <row r="47" spans="2:12" x14ac:dyDescent="0.25">
      <c r="B47" s="517"/>
      <c r="E47" s="78"/>
      <c r="I47" s="78"/>
    </row>
    <row r="48" spans="2:12" x14ac:dyDescent="0.25">
      <c r="B48" s="517"/>
      <c r="E48" s="78"/>
      <c r="I48" s="78"/>
    </row>
  </sheetData>
  <mergeCells count="8">
    <mergeCell ref="F14:H14"/>
    <mergeCell ref="J14:L14"/>
    <mergeCell ref="B7:B9"/>
    <mergeCell ref="F7:H7"/>
    <mergeCell ref="J7:L7"/>
    <mergeCell ref="C8:D8"/>
    <mergeCell ref="F8:H8"/>
    <mergeCell ref="J8:L8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5" tint="0.59999389629810485"/>
  </sheetPr>
  <dimension ref="B2:H36"/>
  <sheetViews>
    <sheetView zoomScale="80" zoomScaleNormal="80" workbookViewId="0">
      <selection activeCell="B1" sqref="B1"/>
    </sheetView>
  </sheetViews>
  <sheetFormatPr defaultColWidth="9.140625" defaultRowHeight="15" x14ac:dyDescent="0.25"/>
  <cols>
    <col min="1" max="1" width="4.7109375" style="11" customWidth="1"/>
    <col min="2" max="2" width="23.7109375" style="11" customWidth="1"/>
    <col min="3" max="4" width="17.85546875" style="11" customWidth="1"/>
    <col min="5" max="5" width="18.85546875" style="11" customWidth="1"/>
    <col min="6" max="6" width="18.5703125" style="11" customWidth="1"/>
    <col min="7" max="7" width="18.42578125" style="11" customWidth="1"/>
    <col min="8" max="8" width="18" style="11" customWidth="1"/>
    <col min="9" max="16384" width="9.140625" style="11"/>
  </cols>
  <sheetData>
    <row r="2" spans="2:8" x14ac:dyDescent="0.25">
      <c r="B2" s="11" t="s">
        <v>382</v>
      </c>
    </row>
    <row r="3" spans="2:8" x14ac:dyDescent="0.25">
      <c r="B3" s="11" t="s">
        <v>333</v>
      </c>
    </row>
    <row r="4" spans="2:8" ht="12.75" customHeight="1" thickBot="1" x14ac:dyDescent="0.3"/>
    <row r="5" spans="2:8" ht="25.5" customHeight="1" thickBot="1" x14ac:dyDescent="0.3">
      <c r="B5" s="885" t="s">
        <v>13</v>
      </c>
      <c r="C5" s="1046" t="s">
        <v>514</v>
      </c>
      <c r="D5" s="1047"/>
      <c r="E5" s="1047"/>
      <c r="F5" s="1047"/>
      <c r="G5" s="1047"/>
      <c r="H5" s="1048"/>
    </row>
    <row r="6" spans="2:8" ht="56.25" customHeight="1" x14ac:dyDescent="0.25">
      <c r="B6" s="921"/>
      <c r="C6" s="914" t="s">
        <v>43</v>
      </c>
      <c r="D6" s="1049"/>
      <c r="E6" s="646"/>
      <c r="F6" s="646"/>
      <c r="G6" s="646"/>
      <c r="H6" s="646"/>
    </row>
    <row r="7" spans="2:8" ht="80.25" customHeight="1" x14ac:dyDescent="0.25">
      <c r="B7" s="921"/>
      <c r="C7" s="999" t="s">
        <v>40</v>
      </c>
      <c r="D7" s="937" t="s">
        <v>41</v>
      </c>
      <c r="E7" s="647" t="s">
        <v>42</v>
      </c>
      <c r="F7" s="647" t="s">
        <v>44</v>
      </c>
      <c r="G7" s="647" t="s">
        <v>45</v>
      </c>
      <c r="H7" s="647" t="s">
        <v>363</v>
      </c>
    </row>
    <row r="8" spans="2:8" ht="35.25" customHeight="1" thickBot="1" x14ac:dyDescent="0.3">
      <c r="B8" s="921"/>
      <c r="C8" s="892"/>
      <c r="D8" s="1029"/>
      <c r="E8" s="647"/>
      <c r="F8" s="647"/>
      <c r="G8" s="647"/>
      <c r="H8" s="647"/>
    </row>
    <row r="9" spans="2:8" ht="24" customHeight="1" thickBot="1" x14ac:dyDescent="0.3">
      <c r="B9" s="206" t="s">
        <v>14</v>
      </c>
      <c r="C9" s="44">
        <f t="shared" ref="C9:H9" si="0">SUM(C10:C34)</f>
        <v>2031</v>
      </c>
      <c r="D9" s="207">
        <f t="shared" si="0"/>
        <v>1377</v>
      </c>
      <c r="E9" s="208">
        <f t="shared" si="0"/>
        <v>3927</v>
      </c>
      <c r="F9" s="208">
        <f t="shared" si="0"/>
        <v>497</v>
      </c>
      <c r="G9" s="208">
        <f t="shared" si="0"/>
        <v>978</v>
      </c>
      <c r="H9" s="208">
        <f t="shared" si="0"/>
        <v>900</v>
      </c>
    </row>
    <row r="10" spans="2:8" x14ac:dyDescent="0.25">
      <c r="B10" s="54" t="s">
        <v>15</v>
      </c>
      <c r="C10" s="31">
        <v>55</v>
      </c>
      <c r="D10" s="182">
        <v>16</v>
      </c>
      <c r="E10" s="35">
        <v>99</v>
      </c>
      <c r="F10" s="35">
        <v>6</v>
      </c>
      <c r="G10" s="35">
        <v>27</v>
      </c>
      <c r="H10" s="35">
        <v>28</v>
      </c>
    </row>
    <row r="11" spans="2:8" x14ac:dyDescent="0.25">
      <c r="B11" s="12" t="s">
        <v>16</v>
      </c>
      <c r="C11" s="13">
        <v>79</v>
      </c>
      <c r="D11" s="142">
        <v>53</v>
      </c>
      <c r="E11" s="33">
        <v>156</v>
      </c>
      <c r="F11" s="33">
        <v>5</v>
      </c>
      <c r="G11" s="33">
        <v>52</v>
      </c>
      <c r="H11" s="33">
        <v>32</v>
      </c>
    </row>
    <row r="12" spans="2:8" x14ac:dyDescent="0.25">
      <c r="B12" s="12" t="s">
        <v>17</v>
      </c>
      <c r="C12" s="13">
        <v>116</v>
      </c>
      <c r="D12" s="142">
        <v>0</v>
      </c>
      <c r="E12" s="33">
        <v>115</v>
      </c>
      <c r="F12" s="33">
        <v>11</v>
      </c>
      <c r="G12" s="33">
        <v>48</v>
      </c>
      <c r="H12" s="33">
        <v>40</v>
      </c>
    </row>
    <row r="13" spans="2:8" x14ac:dyDescent="0.25">
      <c r="B13" s="12" t="s">
        <v>18</v>
      </c>
      <c r="C13" s="13">
        <v>113</v>
      </c>
      <c r="D13" s="142">
        <v>203</v>
      </c>
      <c r="E13" s="33">
        <v>259</v>
      </c>
      <c r="F13" s="33">
        <v>0</v>
      </c>
      <c r="G13" s="33">
        <v>61</v>
      </c>
      <c r="H13" s="33">
        <v>86</v>
      </c>
    </row>
    <row r="14" spans="2:8" x14ac:dyDescent="0.25">
      <c r="B14" s="12" t="s">
        <v>19</v>
      </c>
      <c r="C14" s="13">
        <v>114</v>
      </c>
      <c r="D14" s="142">
        <v>64</v>
      </c>
      <c r="E14" s="33">
        <v>200</v>
      </c>
      <c r="F14" s="33">
        <v>47</v>
      </c>
      <c r="G14" s="33">
        <v>51</v>
      </c>
      <c r="H14" s="33">
        <v>88</v>
      </c>
    </row>
    <row r="15" spans="2:8" x14ac:dyDescent="0.25">
      <c r="B15" s="12" t="s">
        <v>20</v>
      </c>
      <c r="C15" s="13">
        <v>63</v>
      </c>
      <c r="D15" s="142">
        <v>21</v>
      </c>
      <c r="E15" s="33">
        <v>104</v>
      </c>
      <c r="F15" s="33">
        <v>5</v>
      </c>
      <c r="G15" s="33">
        <v>22</v>
      </c>
      <c r="H15" s="33">
        <v>24</v>
      </c>
    </row>
    <row r="16" spans="2:8" x14ac:dyDescent="0.25">
      <c r="B16" s="12" t="s">
        <v>21</v>
      </c>
      <c r="C16" s="13">
        <v>31</v>
      </c>
      <c r="D16" s="142">
        <v>11</v>
      </c>
      <c r="E16" s="33">
        <v>83</v>
      </c>
      <c r="F16" s="33">
        <v>28</v>
      </c>
      <c r="G16" s="33">
        <v>38</v>
      </c>
      <c r="H16" s="33">
        <v>46</v>
      </c>
    </row>
    <row r="17" spans="2:8" x14ac:dyDescent="0.25">
      <c r="B17" s="12" t="s">
        <v>22</v>
      </c>
      <c r="C17" s="13">
        <v>26</v>
      </c>
      <c r="D17" s="142">
        <v>34</v>
      </c>
      <c r="E17" s="33">
        <v>49</v>
      </c>
      <c r="F17" s="33">
        <v>0</v>
      </c>
      <c r="G17" s="33">
        <v>33</v>
      </c>
      <c r="H17" s="33">
        <v>19</v>
      </c>
    </row>
    <row r="18" spans="2:8" x14ac:dyDescent="0.25">
      <c r="B18" s="12" t="s">
        <v>23</v>
      </c>
      <c r="C18" s="13">
        <v>46</v>
      </c>
      <c r="D18" s="142">
        <v>117</v>
      </c>
      <c r="E18" s="33">
        <v>361</v>
      </c>
      <c r="F18" s="33">
        <v>30</v>
      </c>
      <c r="G18" s="33">
        <v>45</v>
      </c>
      <c r="H18" s="33">
        <v>43</v>
      </c>
    </row>
    <row r="19" spans="2:8" x14ac:dyDescent="0.25">
      <c r="B19" s="12" t="s">
        <v>24</v>
      </c>
      <c r="C19" s="13">
        <v>95</v>
      </c>
      <c r="D19" s="142">
        <v>17</v>
      </c>
      <c r="E19" s="33">
        <v>202</v>
      </c>
      <c r="F19" s="33">
        <v>53</v>
      </c>
      <c r="G19" s="33">
        <v>20</v>
      </c>
      <c r="H19" s="33">
        <v>0</v>
      </c>
    </row>
    <row r="20" spans="2:8" x14ac:dyDescent="0.25">
      <c r="B20" s="12" t="s">
        <v>25</v>
      </c>
      <c r="C20" s="13">
        <v>118</v>
      </c>
      <c r="D20" s="142">
        <v>85</v>
      </c>
      <c r="E20" s="33">
        <v>141</v>
      </c>
      <c r="F20" s="33">
        <v>30</v>
      </c>
      <c r="G20" s="33">
        <v>49</v>
      </c>
      <c r="H20" s="33">
        <v>41</v>
      </c>
    </row>
    <row r="21" spans="2:8" x14ac:dyDescent="0.25">
      <c r="B21" s="12" t="s">
        <v>26</v>
      </c>
      <c r="C21" s="13">
        <v>110</v>
      </c>
      <c r="D21" s="142">
        <v>42</v>
      </c>
      <c r="E21" s="33">
        <v>229</v>
      </c>
      <c r="F21" s="33">
        <v>0</v>
      </c>
      <c r="G21" s="33">
        <v>39</v>
      </c>
      <c r="H21" s="33">
        <v>85</v>
      </c>
    </row>
    <row r="22" spans="2:8" x14ac:dyDescent="0.25">
      <c r="B22" s="12" t="s">
        <v>27</v>
      </c>
      <c r="C22" s="13">
        <v>158</v>
      </c>
      <c r="D22" s="142">
        <v>37</v>
      </c>
      <c r="E22" s="33">
        <v>232</v>
      </c>
      <c r="F22" s="33">
        <v>25</v>
      </c>
      <c r="G22" s="33">
        <v>31</v>
      </c>
      <c r="H22" s="33">
        <v>27</v>
      </c>
    </row>
    <row r="23" spans="2:8" x14ac:dyDescent="0.25">
      <c r="B23" s="17" t="s">
        <v>28</v>
      </c>
      <c r="C23" s="13">
        <v>101</v>
      </c>
      <c r="D23" s="142">
        <v>65</v>
      </c>
      <c r="E23" s="209">
        <v>55</v>
      </c>
      <c r="F23" s="33">
        <v>65</v>
      </c>
      <c r="G23" s="209">
        <v>28</v>
      </c>
      <c r="H23" s="33">
        <v>31</v>
      </c>
    </row>
    <row r="24" spans="2:8" x14ac:dyDescent="0.25">
      <c r="B24" s="17" t="s">
        <v>29</v>
      </c>
      <c r="C24" s="13">
        <v>205</v>
      </c>
      <c r="D24" s="142">
        <v>194</v>
      </c>
      <c r="E24" s="209">
        <v>310</v>
      </c>
      <c r="F24" s="33">
        <v>44</v>
      </c>
      <c r="G24" s="209">
        <v>35</v>
      </c>
      <c r="H24" s="33">
        <v>19</v>
      </c>
    </row>
    <row r="25" spans="2:8" x14ac:dyDescent="0.25">
      <c r="B25" s="17" t="s">
        <v>30</v>
      </c>
      <c r="C25" s="13">
        <v>78</v>
      </c>
      <c r="D25" s="142">
        <v>43</v>
      </c>
      <c r="E25" s="209">
        <v>131</v>
      </c>
      <c r="F25" s="33">
        <v>4</v>
      </c>
      <c r="G25" s="209">
        <v>45</v>
      </c>
      <c r="H25" s="33">
        <v>40</v>
      </c>
    </row>
    <row r="26" spans="2:8" x14ac:dyDescent="0.25">
      <c r="B26" s="17" t="s">
        <v>31</v>
      </c>
      <c r="C26" s="13">
        <v>50</v>
      </c>
      <c r="D26" s="142">
        <v>63</v>
      </c>
      <c r="E26" s="209">
        <v>145</v>
      </c>
      <c r="F26" s="33">
        <v>25</v>
      </c>
      <c r="G26" s="209">
        <v>66</v>
      </c>
      <c r="H26" s="33">
        <v>46</v>
      </c>
    </row>
    <row r="27" spans="2:8" x14ac:dyDescent="0.25">
      <c r="B27" s="17" t="s">
        <v>32</v>
      </c>
      <c r="C27" s="13">
        <v>90</v>
      </c>
      <c r="D27" s="142">
        <v>20</v>
      </c>
      <c r="E27" s="209">
        <v>92</v>
      </c>
      <c r="F27" s="33">
        <v>3</v>
      </c>
      <c r="G27" s="209">
        <v>47</v>
      </c>
      <c r="H27" s="33">
        <v>56</v>
      </c>
    </row>
    <row r="28" spans="2:8" x14ac:dyDescent="0.25">
      <c r="B28" s="17" t="s">
        <v>33</v>
      </c>
      <c r="C28" s="13">
        <v>74</v>
      </c>
      <c r="D28" s="142">
        <v>18</v>
      </c>
      <c r="E28" s="209">
        <v>127</v>
      </c>
      <c r="F28" s="33">
        <v>31</v>
      </c>
      <c r="G28" s="209">
        <v>16</v>
      </c>
      <c r="H28" s="33">
        <v>19</v>
      </c>
    </row>
    <row r="29" spans="2:8" x14ac:dyDescent="0.25">
      <c r="B29" s="17" t="s">
        <v>34</v>
      </c>
      <c r="C29" s="13">
        <v>81</v>
      </c>
      <c r="D29" s="142">
        <v>91</v>
      </c>
      <c r="E29" s="209">
        <v>352</v>
      </c>
      <c r="F29" s="33">
        <v>24</v>
      </c>
      <c r="G29" s="209">
        <v>42</v>
      </c>
      <c r="H29" s="33">
        <v>21</v>
      </c>
    </row>
    <row r="30" spans="2:8" x14ac:dyDescent="0.25">
      <c r="B30" s="17" t="s">
        <v>35</v>
      </c>
      <c r="C30" s="13">
        <v>54</v>
      </c>
      <c r="D30" s="142">
        <v>102</v>
      </c>
      <c r="E30" s="209">
        <v>113</v>
      </c>
      <c r="F30" s="33">
        <v>0</v>
      </c>
      <c r="G30" s="209">
        <v>26</v>
      </c>
      <c r="H30" s="33">
        <v>12</v>
      </c>
    </row>
    <row r="31" spans="2:8" x14ac:dyDescent="0.25">
      <c r="B31" s="17" t="s">
        <v>36</v>
      </c>
      <c r="C31" s="13">
        <v>19</v>
      </c>
      <c r="D31" s="142">
        <v>3</v>
      </c>
      <c r="E31" s="209">
        <v>29</v>
      </c>
      <c r="F31" s="33">
        <v>13</v>
      </c>
      <c r="G31" s="209">
        <v>22</v>
      </c>
      <c r="H31" s="33">
        <v>14</v>
      </c>
    </row>
    <row r="32" spans="2:8" x14ac:dyDescent="0.25">
      <c r="B32" s="17" t="s">
        <v>37</v>
      </c>
      <c r="C32" s="13">
        <v>57</v>
      </c>
      <c r="D32" s="142">
        <v>18</v>
      </c>
      <c r="E32" s="209">
        <v>38</v>
      </c>
      <c r="F32" s="33">
        <v>47</v>
      </c>
      <c r="G32" s="209">
        <v>31</v>
      </c>
      <c r="H32" s="33">
        <v>21</v>
      </c>
    </row>
    <row r="33" spans="2:8" x14ac:dyDescent="0.25">
      <c r="B33" s="17" t="s">
        <v>38</v>
      </c>
      <c r="C33" s="13">
        <v>53</v>
      </c>
      <c r="D33" s="142">
        <v>9</v>
      </c>
      <c r="E33" s="209">
        <v>185</v>
      </c>
      <c r="F33" s="33">
        <v>1</v>
      </c>
      <c r="G33" s="209">
        <v>88</v>
      </c>
      <c r="H33" s="33">
        <v>50</v>
      </c>
    </row>
    <row r="34" spans="2:8" ht="15.75" thickBot="1" x14ac:dyDescent="0.3">
      <c r="B34" s="18" t="s">
        <v>39</v>
      </c>
      <c r="C34" s="19">
        <v>45</v>
      </c>
      <c r="D34" s="143">
        <v>51</v>
      </c>
      <c r="E34" s="210">
        <v>120</v>
      </c>
      <c r="F34" s="36">
        <v>0</v>
      </c>
      <c r="G34" s="210">
        <v>16</v>
      </c>
      <c r="H34" s="36">
        <v>12</v>
      </c>
    </row>
    <row r="35" spans="2:8" x14ac:dyDescent="0.25">
      <c r="E35" s="49"/>
    </row>
    <row r="36" spans="2:8" x14ac:dyDescent="0.25">
      <c r="B36" s="50"/>
    </row>
  </sheetData>
  <mergeCells count="5">
    <mergeCell ref="C5:H5"/>
    <mergeCell ref="B5:B8"/>
    <mergeCell ref="C6:D6"/>
    <mergeCell ref="C7:C8"/>
    <mergeCell ref="D7:D8"/>
  </mergeCells>
  <pageMargins left="2.0866141732283467" right="0.6692913385826772" top="1.0236220472440944" bottom="0.31496062992125984" header="0.31496062992125984" footer="0.31496062992125984"/>
  <pageSetup paperSize="9" scale="7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5" tint="0.59999389629810485"/>
    <pageSetUpPr fitToPage="1"/>
  </sheetPr>
  <dimension ref="B2:O32"/>
  <sheetViews>
    <sheetView zoomScale="90" zoomScaleNormal="90" workbookViewId="0">
      <selection activeCell="B1" sqref="B1"/>
    </sheetView>
  </sheetViews>
  <sheetFormatPr defaultColWidth="9.140625" defaultRowHeight="15" x14ac:dyDescent="0.25"/>
  <cols>
    <col min="1" max="1" width="3.5703125" style="11" customWidth="1"/>
    <col min="2" max="2" width="26.28515625" style="11" customWidth="1"/>
    <col min="3" max="3" width="13.42578125" style="11" customWidth="1"/>
    <col min="4" max="4" width="15" style="11" customWidth="1"/>
    <col min="5" max="5" width="15.85546875" style="11" customWidth="1"/>
    <col min="6" max="6" width="2.7109375" style="11" customWidth="1"/>
    <col min="7" max="7" width="2.28515625" style="11" customWidth="1"/>
    <col min="8" max="8" width="9.42578125" style="11" customWidth="1"/>
    <col min="9" max="9" width="10.7109375" style="11" customWidth="1"/>
    <col min="10" max="10" width="10" style="11" customWidth="1"/>
    <col min="11" max="11" width="3.7109375" style="11" customWidth="1"/>
    <col min="12" max="12" width="8.85546875" style="11" customWidth="1"/>
    <col min="13" max="13" width="10" style="11" customWidth="1"/>
    <col min="14" max="14" width="10.140625" style="11" customWidth="1"/>
    <col min="15" max="16384" width="9.140625" style="11"/>
  </cols>
  <sheetData>
    <row r="2" spans="2:14" x14ac:dyDescent="0.25">
      <c r="B2" s="202" t="s">
        <v>383</v>
      </c>
      <c r="C2" s="202"/>
      <c r="D2" s="202"/>
      <c r="E2" s="202"/>
    </row>
    <row r="3" spans="2:14" ht="13.5" customHeight="1" x14ac:dyDescent="0.25">
      <c r="B3" s="136" t="s">
        <v>336</v>
      </c>
      <c r="C3" s="202"/>
      <c r="D3" s="202"/>
      <c r="E3" s="202"/>
    </row>
    <row r="4" spans="2:14" ht="12.75" customHeight="1" thickBot="1" x14ac:dyDescent="0.3">
      <c r="B4" s="198"/>
      <c r="C4" s="198"/>
      <c r="D4" s="198"/>
      <c r="E4" s="198"/>
    </row>
    <row r="5" spans="2:14" x14ac:dyDescent="0.25">
      <c r="B5" s="635"/>
      <c r="C5" s="636"/>
      <c r="D5" s="637" t="s">
        <v>49</v>
      </c>
      <c r="E5" s="638"/>
    </row>
    <row r="6" spans="2:14" ht="45.75" thickBot="1" x14ac:dyDescent="0.3">
      <c r="B6" s="639" t="s">
        <v>13</v>
      </c>
      <c r="C6" s="640" t="s">
        <v>242</v>
      </c>
      <c r="D6" s="640" t="s">
        <v>244</v>
      </c>
      <c r="E6" s="641" t="s">
        <v>243</v>
      </c>
      <c r="H6" s="202"/>
    </row>
    <row r="7" spans="2:14" ht="24.75" customHeight="1" thickBot="1" x14ac:dyDescent="0.3">
      <c r="B7" s="203" t="s">
        <v>14</v>
      </c>
      <c r="C7" s="204">
        <f>SUM(C8:C32)</f>
        <v>513</v>
      </c>
      <c r="D7" s="403">
        <f>SUM(D8:D32)</f>
        <v>0</v>
      </c>
      <c r="E7" s="205">
        <f>SUM(E8:E32)</f>
        <v>513</v>
      </c>
      <c r="H7" s="642" t="s">
        <v>270</v>
      </c>
      <c r="I7" s="643" t="s">
        <v>264</v>
      </c>
      <c r="J7" s="643" t="s">
        <v>265</v>
      </c>
      <c r="L7" s="644" t="s">
        <v>268</v>
      </c>
      <c r="M7" s="645" t="s">
        <v>264</v>
      </c>
      <c r="N7" s="645" t="s">
        <v>265</v>
      </c>
    </row>
    <row r="8" spans="2:14" x14ac:dyDescent="0.25">
      <c r="B8" s="201" t="s">
        <v>15</v>
      </c>
      <c r="C8" s="404">
        <f>SUM(D8:E8)</f>
        <v>0</v>
      </c>
      <c r="D8" s="226">
        <v>0</v>
      </c>
      <c r="E8" s="227">
        <v>0</v>
      </c>
      <c r="G8" s="137"/>
      <c r="H8" s="96" t="s">
        <v>308</v>
      </c>
      <c r="I8" s="14">
        <v>236</v>
      </c>
      <c r="J8" s="14">
        <v>199</v>
      </c>
      <c r="L8" s="96">
        <v>2007</v>
      </c>
      <c r="M8" s="14">
        <v>479</v>
      </c>
      <c r="N8" s="14">
        <v>437</v>
      </c>
    </row>
    <row r="9" spans="2:14" x14ac:dyDescent="0.25">
      <c r="B9" s="199" t="s">
        <v>16</v>
      </c>
      <c r="C9" s="9">
        <f t="shared" ref="C9:C32" si="0">SUM(D9:E9)</f>
        <v>0</v>
      </c>
      <c r="D9" s="132">
        <v>0</v>
      </c>
      <c r="E9" s="133">
        <v>0</v>
      </c>
      <c r="G9" s="137"/>
      <c r="H9" s="96" t="s">
        <v>309</v>
      </c>
      <c r="I9" s="14">
        <v>1321</v>
      </c>
      <c r="J9" s="14">
        <v>909</v>
      </c>
      <c r="L9" s="96">
        <v>2008</v>
      </c>
      <c r="M9" s="14">
        <v>4570</v>
      </c>
      <c r="N9" s="14">
        <v>2154</v>
      </c>
    </row>
    <row r="10" spans="2:14" x14ac:dyDescent="0.25">
      <c r="B10" s="199" t="s">
        <v>17</v>
      </c>
      <c r="C10" s="9">
        <f t="shared" si="0"/>
        <v>0</v>
      </c>
      <c r="D10" s="132">
        <v>0</v>
      </c>
      <c r="E10" s="133">
        <v>0</v>
      </c>
      <c r="H10" s="96" t="s">
        <v>310</v>
      </c>
      <c r="I10" s="575">
        <v>8218</v>
      </c>
      <c r="J10" s="575">
        <v>4590</v>
      </c>
      <c r="L10" s="96">
        <v>2009</v>
      </c>
      <c r="M10" s="14">
        <v>9176</v>
      </c>
      <c r="N10" s="14">
        <v>6255</v>
      </c>
    </row>
    <row r="11" spans="2:14" x14ac:dyDescent="0.25">
      <c r="B11" s="199" t="s">
        <v>18</v>
      </c>
      <c r="C11" s="9">
        <f t="shared" si="0"/>
        <v>0</v>
      </c>
      <c r="D11" s="132">
        <v>0</v>
      </c>
      <c r="E11" s="133">
        <v>0</v>
      </c>
      <c r="H11" s="96" t="s">
        <v>311</v>
      </c>
      <c r="I11" s="14">
        <v>803</v>
      </c>
      <c r="J11" s="14">
        <v>129</v>
      </c>
      <c r="L11" s="96">
        <v>2010</v>
      </c>
      <c r="M11" s="14">
        <v>1412</v>
      </c>
      <c r="N11" s="14">
        <v>1120</v>
      </c>
    </row>
    <row r="12" spans="2:14" x14ac:dyDescent="0.25">
      <c r="B12" s="199" t="s">
        <v>19</v>
      </c>
      <c r="C12" s="9">
        <f t="shared" si="0"/>
        <v>0</v>
      </c>
      <c r="D12" s="132">
        <v>0</v>
      </c>
      <c r="E12" s="133">
        <v>0</v>
      </c>
      <c r="H12" s="96" t="s">
        <v>312</v>
      </c>
      <c r="I12" s="14">
        <v>2044</v>
      </c>
      <c r="J12" s="575">
        <v>1509</v>
      </c>
      <c r="L12" s="96">
        <v>2011</v>
      </c>
      <c r="M12" s="14">
        <v>2730</v>
      </c>
      <c r="N12" s="14">
        <v>2048</v>
      </c>
    </row>
    <row r="13" spans="2:14" x14ac:dyDescent="0.25">
      <c r="B13" s="199" t="s">
        <v>20</v>
      </c>
      <c r="C13" s="9">
        <f t="shared" si="0"/>
        <v>0</v>
      </c>
      <c r="D13" s="132">
        <v>0</v>
      </c>
      <c r="E13" s="133">
        <v>0</v>
      </c>
      <c r="H13" s="96" t="s">
        <v>313</v>
      </c>
      <c r="I13" s="14">
        <v>438</v>
      </c>
      <c r="J13" s="14">
        <v>549</v>
      </c>
      <c r="L13" s="96">
        <v>2012</v>
      </c>
      <c r="M13" s="14">
        <v>1273</v>
      </c>
      <c r="N13" s="14">
        <v>1050</v>
      </c>
    </row>
    <row r="14" spans="2:14" x14ac:dyDescent="0.25">
      <c r="B14" s="199" t="s">
        <v>21</v>
      </c>
      <c r="C14" s="9">
        <f t="shared" si="0"/>
        <v>0</v>
      </c>
      <c r="D14" s="132">
        <v>0</v>
      </c>
      <c r="E14" s="133">
        <v>0</v>
      </c>
      <c r="H14" s="96" t="s">
        <v>314</v>
      </c>
      <c r="I14" s="14">
        <v>1134</v>
      </c>
      <c r="J14" s="14">
        <v>590</v>
      </c>
      <c r="L14" s="96">
        <v>2013</v>
      </c>
      <c r="M14" s="14">
        <v>2106</v>
      </c>
      <c r="N14" s="14">
        <v>1235</v>
      </c>
    </row>
    <row r="15" spans="2:14" x14ac:dyDescent="0.25">
      <c r="B15" s="199" t="s">
        <v>22</v>
      </c>
      <c r="C15" s="9">
        <f t="shared" si="0"/>
        <v>0</v>
      </c>
      <c r="D15" s="132">
        <v>0</v>
      </c>
      <c r="E15" s="133">
        <v>0</v>
      </c>
      <c r="H15" s="96" t="s">
        <v>315</v>
      </c>
      <c r="I15" s="14">
        <v>809</v>
      </c>
      <c r="J15" s="14">
        <v>378</v>
      </c>
      <c r="L15" s="96">
        <v>2014</v>
      </c>
      <c r="M15" s="14">
        <v>1311</v>
      </c>
      <c r="N15" s="14">
        <v>651</v>
      </c>
    </row>
    <row r="16" spans="2:14" x14ac:dyDescent="0.25">
      <c r="B16" s="199" t="s">
        <v>23</v>
      </c>
      <c r="C16" s="9">
        <f t="shared" si="0"/>
        <v>78</v>
      </c>
      <c r="D16" s="132">
        <v>0</v>
      </c>
      <c r="E16" s="133">
        <v>78</v>
      </c>
      <c r="H16" s="96" t="s">
        <v>316</v>
      </c>
      <c r="I16" s="14">
        <v>991</v>
      </c>
      <c r="J16" s="14">
        <v>419</v>
      </c>
      <c r="L16" s="96">
        <v>2015</v>
      </c>
      <c r="M16" s="14">
        <v>1204</v>
      </c>
      <c r="N16" s="14">
        <v>1108</v>
      </c>
    </row>
    <row r="17" spans="2:15" x14ac:dyDescent="0.25">
      <c r="B17" s="199" t="s">
        <v>24</v>
      </c>
      <c r="C17" s="9">
        <f t="shared" si="0"/>
        <v>0</v>
      </c>
      <c r="D17" s="132">
        <v>0</v>
      </c>
      <c r="E17" s="133">
        <v>0</v>
      </c>
      <c r="H17" s="96" t="s">
        <v>317</v>
      </c>
      <c r="I17" s="14">
        <v>264</v>
      </c>
      <c r="J17" s="14">
        <v>92</v>
      </c>
      <c r="L17" s="96">
        <v>2016</v>
      </c>
      <c r="M17" s="14">
        <v>720</v>
      </c>
      <c r="N17" s="14">
        <v>609</v>
      </c>
    </row>
    <row r="18" spans="2:15" x14ac:dyDescent="0.25">
      <c r="B18" s="199" t="s">
        <v>25</v>
      </c>
      <c r="C18" s="9">
        <f t="shared" si="0"/>
        <v>0</v>
      </c>
      <c r="D18" s="132">
        <v>0</v>
      </c>
      <c r="E18" s="133">
        <v>0</v>
      </c>
      <c r="H18" s="96" t="s">
        <v>318</v>
      </c>
      <c r="I18" s="14">
        <v>485</v>
      </c>
      <c r="J18" s="14">
        <v>348</v>
      </c>
      <c r="K18" s="366"/>
      <c r="L18" s="96">
        <v>2017</v>
      </c>
      <c r="M18" s="14">
        <v>819</v>
      </c>
      <c r="N18" s="14">
        <v>557</v>
      </c>
    </row>
    <row r="19" spans="2:15" x14ac:dyDescent="0.25">
      <c r="B19" s="199" t="s">
        <v>26</v>
      </c>
      <c r="C19" s="9">
        <f t="shared" si="0"/>
        <v>0</v>
      </c>
      <c r="D19" s="132">
        <v>0</v>
      </c>
      <c r="E19" s="133">
        <v>0</v>
      </c>
      <c r="H19" s="96" t="s">
        <v>266</v>
      </c>
      <c r="I19" s="14">
        <v>323</v>
      </c>
      <c r="J19" s="14">
        <v>358</v>
      </c>
      <c r="K19" s="366"/>
      <c r="L19" s="96">
        <v>2018</v>
      </c>
      <c r="M19" s="14">
        <v>587</v>
      </c>
      <c r="N19" s="14">
        <v>530</v>
      </c>
    </row>
    <row r="20" spans="2:15" x14ac:dyDescent="0.25">
      <c r="B20" s="199" t="s">
        <v>27</v>
      </c>
      <c r="C20" s="9">
        <f t="shared" si="0"/>
        <v>0</v>
      </c>
      <c r="D20" s="132">
        <v>0</v>
      </c>
      <c r="E20" s="133">
        <v>0</v>
      </c>
      <c r="H20" s="96" t="s">
        <v>304</v>
      </c>
      <c r="I20" s="14">
        <v>835</v>
      </c>
      <c r="J20" s="14">
        <v>333</v>
      </c>
      <c r="L20" s="96">
        <v>2019</v>
      </c>
      <c r="M20" s="372">
        <v>1044</v>
      </c>
      <c r="N20" s="372">
        <v>726</v>
      </c>
    </row>
    <row r="21" spans="2:15" x14ac:dyDescent="0.25">
      <c r="B21" s="199" t="s">
        <v>28</v>
      </c>
      <c r="C21" s="9">
        <f t="shared" si="0"/>
        <v>0</v>
      </c>
      <c r="D21" s="132">
        <v>0</v>
      </c>
      <c r="E21" s="133">
        <v>0</v>
      </c>
      <c r="H21" s="96" t="s">
        <v>361</v>
      </c>
      <c r="I21" s="14">
        <v>3035</v>
      </c>
      <c r="J21" s="14">
        <v>1230</v>
      </c>
      <c r="L21" s="96">
        <v>2020</v>
      </c>
      <c r="M21" s="14">
        <v>4716</v>
      </c>
      <c r="N21" s="14">
        <v>2746</v>
      </c>
      <c r="O21" s="366"/>
    </row>
    <row r="22" spans="2:15" x14ac:dyDescent="0.25">
      <c r="B22" s="199" t="s">
        <v>29</v>
      </c>
      <c r="C22" s="9">
        <f t="shared" si="0"/>
        <v>0</v>
      </c>
      <c r="D22" s="132">
        <v>0</v>
      </c>
      <c r="E22" s="133">
        <v>0</v>
      </c>
      <c r="H22" s="96" t="s">
        <v>369</v>
      </c>
      <c r="I22" s="14">
        <v>88</v>
      </c>
      <c r="J22" s="14">
        <v>238</v>
      </c>
      <c r="L22" s="96">
        <v>2021</v>
      </c>
      <c r="M22" s="14">
        <v>716</v>
      </c>
      <c r="N22" s="14">
        <v>384</v>
      </c>
      <c r="O22" s="366"/>
    </row>
    <row r="23" spans="2:15" x14ac:dyDescent="0.25">
      <c r="B23" s="199" t="s">
        <v>30</v>
      </c>
      <c r="C23" s="9">
        <f t="shared" si="0"/>
        <v>80</v>
      </c>
      <c r="D23" s="132">
        <v>0</v>
      </c>
      <c r="E23" s="133">
        <v>80</v>
      </c>
      <c r="H23" s="96" t="s">
        <v>436</v>
      </c>
      <c r="I23" s="96">
        <v>599</v>
      </c>
      <c r="J23" s="96">
        <v>204</v>
      </c>
      <c r="L23" s="96">
        <v>2022</v>
      </c>
      <c r="M23" s="14">
        <v>599</v>
      </c>
      <c r="N23" s="14">
        <v>204</v>
      </c>
    </row>
    <row r="24" spans="2:15" x14ac:dyDescent="0.25">
      <c r="B24" s="199" t="s">
        <v>31</v>
      </c>
      <c r="C24" s="9">
        <f t="shared" si="0"/>
        <v>24</v>
      </c>
      <c r="D24" s="132">
        <v>0</v>
      </c>
      <c r="E24" s="133">
        <v>24</v>
      </c>
      <c r="H24" s="96" t="s">
        <v>513</v>
      </c>
      <c r="I24" s="96">
        <v>513</v>
      </c>
      <c r="J24" s="96">
        <v>353</v>
      </c>
      <c r="L24" s="96">
        <v>2023</v>
      </c>
      <c r="M24" s="402"/>
      <c r="N24" s="402"/>
    </row>
    <row r="25" spans="2:15" x14ac:dyDescent="0.25">
      <c r="B25" s="199" t="s">
        <v>32</v>
      </c>
      <c r="C25" s="9">
        <f t="shared" si="0"/>
        <v>0</v>
      </c>
      <c r="D25" s="132">
        <v>0</v>
      </c>
      <c r="E25" s="133">
        <v>0</v>
      </c>
      <c r="H25" s="11" t="s">
        <v>368</v>
      </c>
      <c r="J25" s="366"/>
    </row>
    <row r="26" spans="2:15" x14ac:dyDescent="0.25">
      <c r="B26" s="199" t="s">
        <v>33</v>
      </c>
      <c r="C26" s="9">
        <f t="shared" si="0"/>
        <v>0</v>
      </c>
      <c r="D26" s="132">
        <v>0</v>
      </c>
      <c r="E26" s="133">
        <v>0</v>
      </c>
      <c r="J26" s="137">
        <f>SUM(J24-J23)</f>
        <v>149</v>
      </c>
    </row>
    <row r="27" spans="2:15" x14ac:dyDescent="0.25">
      <c r="B27" s="199" t="s">
        <v>34</v>
      </c>
      <c r="C27" s="9">
        <f t="shared" si="0"/>
        <v>0</v>
      </c>
      <c r="D27" s="132">
        <v>0</v>
      </c>
      <c r="E27" s="133">
        <v>0</v>
      </c>
    </row>
    <row r="28" spans="2:15" x14ac:dyDescent="0.25">
      <c r="B28" s="199" t="s">
        <v>35</v>
      </c>
      <c r="C28" s="9">
        <f t="shared" si="0"/>
        <v>0</v>
      </c>
      <c r="D28" s="132">
        <v>0</v>
      </c>
      <c r="E28" s="133">
        <v>0</v>
      </c>
    </row>
    <row r="29" spans="2:15" x14ac:dyDescent="0.25">
      <c r="B29" s="199" t="s">
        <v>36</v>
      </c>
      <c r="C29" s="9">
        <f t="shared" si="0"/>
        <v>46</v>
      </c>
      <c r="D29" s="132">
        <v>0</v>
      </c>
      <c r="E29" s="133">
        <v>46</v>
      </c>
    </row>
    <row r="30" spans="2:15" x14ac:dyDescent="0.25">
      <c r="B30" s="199" t="s">
        <v>37</v>
      </c>
      <c r="C30" s="9">
        <f t="shared" si="0"/>
        <v>66</v>
      </c>
      <c r="D30" s="132">
        <v>0</v>
      </c>
      <c r="E30" s="133">
        <v>66</v>
      </c>
    </row>
    <row r="31" spans="2:15" x14ac:dyDescent="0.25">
      <c r="B31" s="199" t="s">
        <v>38</v>
      </c>
      <c r="C31" s="9">
        <f t="shared" si="0"/>
        <v>219</v>
      </c>
      <c r="D31" s="132">
        <v>0</v>
      </c>
      <c r="E31" s="133">
        <v>219</v>
      </c>
    </row>
    <row r="32" spans="2:15" ht="15.75" thickBot="1" x14ac:dyDescent="0.3">
      <c r="B32" s="200" t="s">
        <v>39</v>
      </c>
      <c r="C32" s="5">
        <f t="shared" si="0"/>
        <v>0</v>
      </c>
      <c r="D32" s="134">
        <v>0</v>
      </c>
      <c r="E32" s="135">
        <v>0</v>
      </c>
    </row>
  </sheetData>
  <printOptions horizontalCentered="1" verticalCentered="1"/>
  <pageMargins left="1.7322834645669292" right="0" top="0.6692913385826772" bottom="0" header="0" footer="0"/>
  <pageSetup paperSize="9" scale="46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A4044-08C1-4CBE-8692-7F17E672CBDD}">
  <sheetPr>
    <tabColor theme="5" tint="0.59999389629810485"/>
  </sheetPr>
  <dimension ref="B2:P37"/>
  <sheetViews>
    <sheetView workbookViewId="0">
      <selection activeCell="B1" sqref="B1"/>
    </sheetView>
  </sheetViews>
  <sheetFormatPr defaultRowHeight="12" x14ac:dyDescent="0.2"/>
  <cols>
    <col min="1" max="1" width="3" style="599" customWidth="1"/>
    <col min="2" max="2" width="40.7109375" style="599" customWidth="1"/>
    <col min="3" max="3" width="6.85546875" style="599" customWidth="1"/>
    <col min="4" max="4" width="7.5703125" style="599" customWidth="1"/>
    <col min="5" max="5" width="7.28515625" style="599" customWidth="1"/>
    <col min="6" max="6" width="7" style="599" customWidth="1"/>
    <col min="7" max="8" width="7.140625" style="599" customWidth="1"/>
    <col min="9" max="10" width="7.28515625" style="599" customWidth="1"/>
    <col min="11" max="13" width="7" style="599" customWidth="1"/>
    <col min="14" max="14" width="7.140625" style="599" customWidth="1"/>
    <col min="15" max="15" width="7.28515625" style="599" customWidth="1"/>
    <col min="16" max="16384" width="9.140625" style="599"/>
  </cols>
  <sheetData>
    <row r="2" spans="2:16" x14ac:dyDescent="0.2">
      <c r="B2" s="50" t="s">
        <v>498</v>
      </c>
      <c r="C2" s="50"/>
      <c r="D2" s="50"/>
      <c r="E2" s="50"/>
      <c r="F2" s="50" t="s">
        <v>499</v>
      </c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2:16" x14ac:dyDescent="0.2">
      <c r="B3" s="600" t="s">
        <v>500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2:16" ht="12.75" thickBot="1" x14ac:dyDescent="0.2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2:16" ht="24.75" thickBot="1" x14ac:dyDescent="0.25">
      <c r="B5" s="630" t="s">
        <v>3</v>
      </c>
      <c r="C5" s="631" t="s">
        <v>96</v>
      </c>
      <c r="D5" s="631" t="s">
        <v>97</v>
      </c>
      <c r="E5" s="631" t="s">
        <v>98</v>
      </c>
      <c r="F5" s="631" t="s">
        <v>99</v>
      </c>
      <c r="G5" s="632" t="s">
        <v>100</v>
      </c>
      <c r="H5" s="631" t="s">
        <v>101</v>
      </c>
      <c r="I5" s="631" t="s">
        <v>263</v>
      </c>
      <c r="J5" s="632" t="s">
        <v>269</v>
      </c>
      <c r="K5" s="631" t="s">
        <v>305</v>
      </c>
      <c r="L5" s="631" t="s">
        <v>360</v>
      </c>
      <c r="M5" s="633" t="s">
        <v>367</v>
      </c>
      <c r="N5" s="633" t="s">
        <v>437</v>
      </c>
      <c r="O5" s="633" t="s">
        <v>507</v>
      </c>
      <c r="P5" s="634" t="s">
        <v>102</v>
      </c>
    </row>
    <row r="6" spans="2:16" ht="12.75" thickBot="1" x14ac:dyDescent="0.25">
      <c r="B6" s="601"/>
      <c r="C6" s="602"/>
      <c r="D6" s="602"/>
      <c r="E6" s="602"/>
      <c r="F6" s="602"/>
      <c r="G6" s="602"/>
      <c r="H6" s="602"/>
      <c r="I6" s="602"/>
      <c r="J6" s="602"/>
      <c r="K6" s="602"/>
      <c r="L6" s="602"/>
      <c r="M6" s="602"/>
      <c r="N6" s="602"/>
      <c r="O6" s="602"/>
      <c r="P6" s="603"/>
    </row>
    <row r="7" spans="2:16" ht="13.5" thickTop="1" thickBot="1" x14ac:dyDescent="0.25">
      <c r="B7" s="604" t="s">
        <v>511</v>
      </c>
      <c r="C7" s="605">
        <v>41.4</v>
      </c>
      <c r="D7" s="605">
        <v>40.799999999999997</v>
      </c>
      <c r="E7" s="605">
        <v>41.2</v>
      </c>
      <c r="F7" s="605">
        <v>41.7</v>
      </c>
      <c r="G7" s="606">
        <v>41.9</v>
      </c>
      <c r="H7" s="607">
        <v>43.3</v>
      </c>
      <c r="I7" s="607">
        <v>46.8</v>
      </c>
      <c r="J7" s="608">
        <v>48.1</v>
      </c>
      <c r="K7" s="607">
        <v>47.7</v>
      </c>
      <c r="L7" s="607">
        <v>48.7</v>
      </c>
      <c r="M7" s="609">
        <v>49.3</v>
      </c>
      <c r="N7" s="609">
        <v>50.3</v>
      </c>
      <c r="O7" s="609">
        <v>50.3</v>
      </c>
      <c r="P7" s="610">
        <f>SUM(O7)-N7</f>
        <v>0</v>
      </c>
    </row>
    <row r="8" spans="2:16" ht="12.75" thickBot="1" x14ac:dyDescent="0.25">
      <c r="B8" s="611" t="s">
        <v>509</v>
      </c>
      <c r="C8" s="612"/>
      <c r="D8" s="612"/>
      <c r="E8" s="612"/>
      <c r="F8" s="612"/>
      <c r="G8" s="612"/>
      <c r="H8" s="612"/>
      <c r="I8" s="612"/>
      <c r="J8" s="612"/>
      <c r="K8" s="612"/>
      <c r="L8" s="612"/>
      <c r="M8" s="612"/>
      <c r="N8" s="612"/>
      <c r="O8" s="612"/>
      <c r="P8" s="613"/>
    </row>
    <row r="9" spans="2:16" ht="12.75" thickTop="1" x14ac:dyDescent="0.2">
      <c r="B9" s="614" t="s">
        <v>501</v>
      </c>
      <c r="C9" s="615">
        <v>18.2</v>
      </c>
      <c r="D9" s="615">
        <v>16.899999999999999</v>
      </c>
      <c r="E9" s="615">
        <v>15.6</v>
      </c>
      <c r="F9" s="615">
        <v>16.5</v>
      </c>
      <c r="G9" s="616">
        <v>17.399999999999999</v>
      </c>
      <c r="H9" s="615">
        <v>16.3</v>
      </c>
      <c r="I9" s="615">
        <v>21.5</v>
      </c>
      <c r="J9" s="616">
        <v>24.4</v>
      </c>
      <c r="K9" s="617">
        <v>24.2</v>
      </c>
      <c r="L9" s="617">
        <v>24.3</v>
      </c>
      <c r="M9" s="618">
        <v>20.2</v>
      </c>
      <c r="N9" s="618">
        <v>18.7</v>
      </c>
      <c r="O9" s="618">
        <v>20.100000000000001</v>
      </c>
      <c r="P9" s="619">
        <f>SUM(O9)-N9</f>
        <v>1.4000000000000021</v>
      </c>
    </row>
    <row r="10" spans="2:16" x14ac:dyDescent="0.2">
      <c r="B10" s="620" t="s">
        <v>508</v>
      </c>
      <c r="C10" s="621">
        <v>54.2</v>
      </c>
      <c r="D10" s="621">
        <v>53.4</v>
      </c>
      <c r="E10" s="621">
        <v>54.4</v>
      </c>
      <c r="F10" s="621">
        <v>55</v>
      </c>
      <c r="G10" s="622">
        <v>56</v>
      </c>
      <c r="H10" s="621">
        <v>57.9</v>
      </c>
      <c r="I10" s="621">
        <v>62.3</v>
      </c>
      <c r="J10" s="622">
        <v>64.099999999999994</v>
      </c>
      <c r="K10" s="621">
        <v>64.400000000000006</v>
      </c>
      <c r="L10" s="621">
        <v>66.2</v>
      </c>
      <c r="M10" s="623">
        <v>67.3</v>
      </c>
      <c r="N10" s="623">
        <v>69</v>
      </c>
      <c r="O10" s="623">
        <v>69.2</v>
      </c>
      <c r="P10" s="624">
        <f>SUM(O10)-N10</f>
        <v>0.20000000000000284</v>
      </c>
    </row>
    <row r="11" spans="2:16" ht="12.75" thickBot="1" x14ac:dyDescent="0.25">
      <c r="B11" s="620" t="s">
        <v>510</v>
      </c>
      <c r="C11" s="621">
        <v>22.8</v>
      </c>
      <c r="D11" s="621">
        <v>23.4</v>
      </c>
      <c r="E11" s="621">
        <v>23.9</v>
      </c>
      <c r="F11" s="621">
        <v>24.2</v>
      </c>
      <c r="G11" s="622">
        <v>24.3</v>
      </c>
      <c r="H11" s="621">
        <v>26.2</v>
      </c>
      <c r="I11" s="621">
        <v>28.3</v>
      </c>
      <c r="J11" s="622">
        <v>29</v>
      </c>
      <c r="K11" s="621">
        <v>28.8</v>
      </c>
      <c r="L11" s="621">
        <v>29</v>
      </c>
      <c r="M11" s="623">
        <v>30.3</v>
      </c>
      <c r="N11" s="623">
        <v>32.1</v>
      </c>
      <c r="O11" s="623">
        <v>32.1</v>
      </c>
      <c r="P11" s="624">
        <f>SUM(O11)-N11</f>
        <v>0</v>
      </c>
    </row>
    <row r="12" spans="2:16" ht="12.75" thickBot="1" x14ac:dyDescent="0.25">
      <c r="B12" s="611" t="s">
        <v>502</v>
      </c>
      <c r="C12" s="612"/>
      <c r="D12" s="612"/>
      <c r="E12" s="612"/>
      <c r="F12" s="612"/>
      <c r="G12" s="612"/>
      <c r="H12" s="612"/>
      <c r="I12" s="612"/>
      <c r="J12" s="612"/>
      <c r="K12" s="612"/>
      <c r="L12" s="612"/>
      <c r="M12" s="612"/>
      <c r="N12" s="612"/>
      <c r="O12" s="612"/>
      <c r="P12" s="613"/>
    </row>
    <row r="13" spans="2:16" ht="12.75" thickTop="1" x14ac:dyDescent="0.2">
      <c r="B13" s="614" t="s">
        <v>7</v>
      </c>
      <c r="C13" s="615">
        <v>76.099999999999994</v>
      </c>
      <c r="D13" s="615">
        <v>74.5</v>
      </c>
      <c r="E13" s="615">
        <v>73.400000000000006</v>
      </c>
      <c r="F13" s="615">
        <v>72.7</v>
      </c>
      <c r="G13" s="616">
        <v>73.2</v>
      </c>
      <c r="H13" s="615">
        <v>73.3</v>
      </c>
      <c r="I13" s="615">
        <v>75.400000000000006</v>
      </c>
      <c r="J13" s="616">
        <v>76.900000000000006</v>
      </c>
      <c r="K13" s="617">
        <v>76.3</v>
      </c>
      <c r="L13" s="617">
        <v>77.900000000000006</v>
      </c>
      <c r="M13" s="618">
        <v>77.5</v>
      </c>
      <c r="N13" s="618">
        <v>77.400000000000006</v>
      </c>
      <c r="O13" s="618">
        <v>78.7</v>
      </c>
      <c r="P13" s="619">
        <f>SUM(O13)-N13</f>
        <v>1.2999999999999972</v>
      </c>
    </row>
    <row r="14" spans="2:16" x14ac:dyDescent="0.2">
      <c r="B14" s="620" t="s">
        <v>8</v>
      </c>
      <c r="C14" s="621">
        <v>54</v>
      </c>
      <c r="D14" s="621">
        <v>52.5</v>
      </c>
      <c r="E14" s="621">
        <v>53.3</v>
      </c>
      <c r="F14" s="621">
        <v>54.1</v>
      </c>
      <c r="G14" s="622">
        <v>52.8</v>
      </c>
      <c r="H14" s="621">
        <v>53.4</v>
      </c>
      <c r="I14" s="621">
        <v>57.3</v>
      </c>
      <c r="J14" s="622">
        <v>56.1</v>
      </c>
      <c r="K14" s="621">
        <v>54.4</v>
      </c>
      <c r="L14" s="621">
        <v>56.1</v>
      </c>
      <c r="M14" s="623">
        <v>56.4</v>
      </c>
      <c r="N14" s="623">
        <v>57.2</v>
      </c>
      <c r="O14" s="623">
        <v>57.1</v>
      </c>
      <c r="P14" s="624">
        <f>SUM(O14)-N14</f>
        <v>-0.10000000000000142</v>
      </c>
    </row>
    <row r="15" spans="2:16" x14ac:dyDescent="0.2">
      <c r="B15" s="620" t="s">
        <v>9</v>
      </c>
      <c r="C15" s="621">
        <v>32.299999999999997</v>
      </c>
      <c r="D15" s="621">
        <v>32.9</v>
      </c>
      <c r="E15" s="621">
        <v>32.5</v>
      </c>
      <c r="F15" s="621">
        <v>33.5</v>
      </c>
      <c r="G15" s="622">
        <v>33.1</v>
      </c>
      <c r="H15" s="621">
        <v>34.299999999999997</v>
      </c>
      <c r="I15" s="621">
        <v>39</v>
      </c>
      <c r="J15" s="622">
        <v>43</v>
      </c>
      <c r="K15" s="621">
        <v>45.2</v>
      </c>
      <c r="L15" s="621">
        <v>41.7</v>
      </c>
      <c r="M15" s="623">
        <v>40.9</v>
      </c>
      <c r="N15" s="623">
        <v>42.1</v>
      </c>
      <c r="O15" s="623">
        <v>42.4</v>
      </c>
      <c r="P15" s="624">
        <f>SUM(O15)-N15</f>
        <v>0.29999999999999716</v>
      </c>
    </row>
    <row r="16" spans="2:16" x14ac:dyDescent="0.2">
      <c r="B16" s="620" t="s">
        <v>10</v>
      </c>
      <c r="C16" s="621">
        <v>45.1</v>
      </c>
      <c r="D16" s="621">
        <v>45.3</v>
      </c>
      <c r="E16" s="621">
        <v>44.1</v>
      </c>
      <c r="F16" s="621">
        <v>42.5</v>
      </c>
      <c r="G16" s="622">
        <v>42.5</v>
      </c>
      <c r="H16" s="621">
        <v>45.2</v>
      </c>
      <c r="I16" s="621">
        <v>46.5</v>
      </c>
      <c r="J16" s="622">
        <v>46.6</v>
      </c>
      <c r="K16" s="621">
        <v>46.3</v>
      </c>
      <c r="L16" s="621">
        <v>47.6</v>
      </c>
      <c r="M16" s="623">
        <v>47.4</v>
      </c>
      <c r="N16" s="623">
        <v>48.7</v>
      </c>
      <c r="O16" s="623">
        <v>45.6</v>
      </c>
      <c r="P16" s="624">
        <f>SUM(O16)-N16</f>
        <v>-3.1000000000000014</v>
      </c>
    </row>
    <row r="17" spans="2:16" ht="24.75" thickBot="1" x14ac:dyDescent="0.25">
      <c r="B17" s="625" t="s">
        <v>503</v>
      </c>
      <c r="C17" s="626">
        <v>7.6</v>
      </c>
      <c r="D17" s="626">
        <v>7.8</v>
      </c>
      <c r="E17" s="626">
        <v>7.4</v>
      </c>
      <c r="F17" s="626">
        <v>7.1</v>
      </c>
      <c r="G17" s="627">
        <v>7</v>
      </c>
      <c r="H17" s="626">
        <v>7.1</v>
      </c>
      <c r="I17" s="626">
        <v>7.6</v>
      </c>
      <c r="J17" s="627">
        <v>7.6</v>
      </c>
      <c r="K17" s="626">
        <v>7.9</v>
      </c>
      <c r="L17" s="626">
        <v>8.8000000000000007</v>
      </c>
      <c r="M17" s="628">
        <v>9.8000000000000007</v>
      </c>
      <c r="N17" s="628">
        <v>11.4</v>
      </c>
      <c r="O17" s="628">
        <v>10.6</v>
      </c>
      <c r="P17" s="629">
        <f>SUM(O17)-N17</f>
        <v>-0.80000000000000071</v>
      </c>
    </row>
    <row r="18" spans="2:16" ht="12.75" thickBot="1" x14ac:dyDescent="0.25"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</row>
    <row r="19" spans="2:16" ht="24.75" thickBot="1" x14ac:dyDescent="0.25">
      <c r="B19" s="630" t="s">
        <v>3</v>
      </c>
      <c r="C19" s="631" t="s">
        <v>96</v>
      </c>
      <c r="D19" s="631" t="s">
        <v>97</v>
      </c>
      <c r="E19" s="631" t="s">
        <v>98</v>
      </c>
      <c r="F19" s="631" t="s">
        <v>99</v>
      </c>
      <c r="G19" s="632" t="s">
        <v>100</v>
      </c>
      <c r="H19" s="631" t="s">
        <v>101</v>
      </c>
      <c r="I19" s="631" t="s">
        <v>263</v>
      </c>
      <c r="J19" s="632" t="s">
        <v>269</v>
      </c>
      <c r="K19" s="631" t="s">
        <v>305</v>
      </c>
      <c r="L19" s="631" t="s">
        <v>360</v>
      </c>
      <c r="M19" s="633" t="s">
        <v>367</v>
      </c>
      <c r="N19" s="633" t="s">
        <v>437</v>
      </c>
      <c r="O19" s="633" t="s">
        <v>507</v>
      </c>
      <c r="P19" s="634" t="s">
        <v>102</v>
      </c>
    </row>
    <row r="20" spans="2:16" ht="12.75" thickBot="1" x14ac:dyDescent="0.25">
      <c r="B20" s="601"/>
      <c r="C20" s="602"/>
      <c r="D20" s="602"/>
      <c r="E20" s="602"/>
      <c r="F20" s="602"/>
      <c r="G20" s="602"/>
      <c r="H20" s="602"/>
      <c r="I20" s="602"/>
      <c r="J20" s="602"/>
      <c r="K20" s="602"/>
      <c r="L20" s="602"/>
      <c r="M20" s="602"/>
      <c r="N20" s="602"/>
      <c r="O20" s="602"/>
      <c r="P20" s="603"/>
    </row>
    <row r="21" spans="2:16" ht="13.5" thickTop="1" thickBot="1" x14ac:dyDescent="0.25">
      <c r="B21" s="604" t="s">
        <v>512</v>
      </c>
      <c r="C21" s="605">
        <v>48.3</v>
      </c>
      <c r="D21" s="605">
        <v>48.6</v>
      </c>
      <c r="E21" s="605">
        <v>48.9</v>
      </c>
      <c r="F21" s="605">
        <v>48.9</v>
      </c>
      <c r="G21" s="606">
        <v>50.1</v>
      </c>
      <c r="H21" s="607">
        <v>51.1</v>
      </c>
      <c r="I21" s="607">
        <v>52.1</v>
      </c>
      <c r="J21" s="608">
        <v>53.2</v>
      </c>
      <c r="K21" s="607">
        <v>53.9</v>
      </c>
      <c r="L21" s="607">
        <v>54.1</v>
      </c>
      <c r="M21" s="609">
        <v>54</v>
      </c>
      <c r="N21" s="609">
        <v>55.8</v>
      </c>
      <c r="O21" s="609">
        <v>56.3</v>
      </c>
      <c r="P21" s="610">
        <f>SUM(O21)-N21</f>
        <v>0.5</v>
      </c>
    </row>
    <row r="22" spans="2:16" ht="12.75" thickBot="1" x14ac:dyDescent="0.25">
      <c r="B22" s="611" t="s">
        <v>509</v>
      </c>
      <c r="C22" s="612"/>
      <c r="D22" s="612"/>
      <c r="E22" s="612"/>
      <c r="F22" s="612"/>
      <c r="G22" s="612"/>
      <c r="H22" s="612"/>
      <c r="I22" s="612"/>
      <c r="J22" s="612"/>
      <c r="K22" s="612"/>
      <c r="L22" s="612"/>
      <c r="M22" s="612"/>
      <c r="N22" s="612"/>
      <c r="O22" s="612"/>
      <c r="P22" s="613"/>
    </row>
    <row r="23" spans="2:16" ht="12.75" thickTop="1" x14ac:dyDescent="0.2">
      <c r="B23" s="614" t="s">
        <v>501</v>
      </c>
      <c r="C23" s="615">
        <v>26</v>
      </c>
      <c r="D23" s="615">
        <v>24.5</v>
      </c>
      <c r="E23" s="615">
        <v>24.3</v>
      </c>
      <c r="F23" s="615">
        <v>23.9</v>
      </c>
      <c r="G23" s="616">
        <v>25.5</v>
      </c>
      <c r="H23" s="615">
        <v>25.7</v>
      </c>
      <c r="I23" s="615">
        <v>28.1</v>
      </c>
      <c r="J23" s="616">
        <v>29.4</v>
      </c>
      <c r="K23" s="617">
        <v>30.8</v>
      </c>
      <c r="L23" s="617">
        <v>31.7</v>
      </c>
      <c r="M23" s="618">
        <v>28.2</v>
      </c>
      <c r="N23" s="618">
        <v>27.3</v>
      </c>
      <c r="O23" s="618">
        <v>27.8</v>
      </c>
      <c r="P23" s="619">
        <f>SUM(O23)-N23</f>
        <v>0.5</v>
      </c>
    </row>
    <row r="24" spans="2:16" x14ac:dyDescent="0.2">
      <c r="B24" s="620" t="s">
        <v>508</v>
      </c>
      <c r="C24" s="621">
        <v>62.5</v>
      </c>
      <c r="D24" s="621">
        <v>63.1</v>
      </c>
      <c r="E24" s="621">
        <v>63.7</v>
      </c>
      <c r="F24" s="621">
        <v>64.099999999999994</v>
      </c>
      <c r="G24" s="622">
        <v>66</v>
      </c>
      <c r="H24" s="621">
        <v>67.3</v>
      </c>
      <c r="I24" s="621">
        <v>69.3</v>
      </c>
      <c r="J24" s="622">
        <v>71.2</v>
      </c>
      <c r="K24" s="621">
        <v>72.8</v>
      </c>
      <c r="L24" s="621">
        <v>73.8</v>
      </c>
      <c r="M24" s="623">
        <v>74</v>
      </c>
      <c r="N24" s="623">
        <v>76.599999999999994</v>
      </c>
      <c r="O24" s="623">
        <v>77.8</v>
      </c>
      <c r="P24" s="624">
        <f>SUM(O24)-N24</f>
        <v>1.2000000000000028</v>
      </c>
    </row>
    <row r="25" spans="2:16" ht="12.75" thickBot="1" x14ac:dyDescent="0.25">
      <c r="B25" s="620" t="s">
        <v>510</v>
      </c>
      <c r="C25" s="621">
        <v>28.2</v>
      </c>
      <c r="D25" s="621">
        <v>29.2</v>
      </c>
      <c r="E25" s="621">
        <v>29.7</v>
      </c>
      <c r="F25" s="621">
        <v>30</v>
      </c>
      <c r="G25" s="622">
        <v>30.8</v>
      </c>
      <c r="H25" s="621">
        <v>31.5</v>
      </c>
      <c r="I25" s="621">
        <v>31.8</v>
      </c>
      <c r="J25" s="622">
        <v>32.6</v>
      </c>
      <c r="K25" s="621">
        <v>32.4</v>
      </c>
      <c r="L25" s="621">
        <v>32.200000000000003</v>
      </c>
      <c r="M25" s="623">
        <v>32.6</v>
      </c>
      <c r="N25" s="623">
        <v>34.700000000000003</v>
      </c>
      <c r="O25" s="623">
        <v>35.1</v>
      </c>
      <c r="P25" s="624">
        <f>SUM(O25)-N25</f>
        <v>0.39999999999999858</v>
      </c>
    </row>
    <row r="26" spans="2:16" ht="12.75" thickBot="1" x14ac:dyDescent="0.25">
      <c r="B26" s="611" t="s">
        <v>502</v>
      </c>
      <c r="C26" s="612"/>
      <c r="D26" s="612"/>
      <c r="E26" s="612"/>
      <c r="F26" s="612"/>
      <c r="G26" s="612"/>
      <c r="H26" s="612"/>
      <c r="I26" s="612"/>
      <c r="J26" s="612"/>
      <c r="K26" s="612"/>
      <c r="L26" s="612"/>
      <c r="M26" s="612"/>
      <c r="N26" s="612"/>
      <c r="O26" s="612"/>
      <c r="P26" s="613"/>
    </row>
    <row r="27" spans="2:16" ht="12.75" thickTop="1" x14ac:dyDescent="0.2">
      <c r="B27" s="614" t="s">
        <v>7</v>
      </c>
      <c r="C27" s="615">
        <v>76.900000000000006</v>
      </c>
      <c r="D27" s="615">
        <v>76.400000000000006</v>
      </c>
      <c r="E27" s="615">
        <v>76.099999999999994</v>
      </c>
      <c r="F27" s="615">
        <v>76.099999999999994</v>
      </c>
      <c r="G27" s="616">
        <v>76.8</v>
      </c>
      <c r="H27" s="615">
        <v>77.599999999999994</v>
      </c>
      <c r="I27" s="615">
        <v>78.2</v>
      </c>
      <c r="J27" s="616">
        <v>78.599999999999994</v>
      </c>
      <c r="K27" s="617">
        <v>79.2</v>
      </c>
      <c r="L27" s="617">
        <v>79.099999999999994</v>
      </c>
      <c r="M27" s="618">
        <v>78.7</v>
      </c>
      <c r="N27" s="618">
        <v>79.7</v>
      </c>
      <c r="O27" s="618">
        <v>80.099999999999994</v>
      </c>
      <c r="P27" s="619">
        <f>SUM(O27)-N27</f>
        <v>0.39999999999999147</v>
      </c>
    </row>
    <row r="28" spans="2:16" x14ac:dyDescent="0.2">
      <c r="B28" s="620" t="s">
        <v>8</v>
      </c>
      <c r="C28" s="621">
        <v>59.7</v>
      </c>
      <c r="D28" s="621">
        <v>59.8</v>
      </c>
      <c r="E28" s="621">
        <v>59.4</v>
      </c>
      <c r="F28" s="621">
        <v>58.5</v>
      </c>
      <c r="G28" s="622">
        <v>58.9</v>
      </c>
      <c r="H28" s="621">
        <v>59.1</v>
      </c>
      <c r="I28" s="621">
        <v>60.2</v>
      </c>
      <c r="J28" s="622">
        <v>60.2</v>
      </c>
      <c r="K28" s="621">
        <v>59.5</v>
      </c>
      <c r="L28" s="621">
        <v>59.2</v>
      </c>
      <c r="M28" s="623">
        <v>58.1</v>
      </c>
      <c r="N28" s="623">
        <v>59.6</v>
      </c>
      <c r="O28" s="623">
        <v>59.9</v>
      </c>
      <c r="P28" s="624">
        <f>SUM(O28)-N28</f>
        <v>0.29999999999999716</v>
      </c>
    </row>
    <row r="29" spans="2:16" x14ac:dyDescent="0.2">
      <c r="B29" s="620" t="s">
        <v>9</v>
      </c>
      <c r="C29" s="621">
        <v>41</v>
      </c>
      <c r="D29" s="621">
        <v>40.799999999999997</v>
      </c>
      <c r="E29" s="621">
        <v>41.5</v>
      </c>
      <c r="F29" s="621">
        <v>41.8</v>
      </c>
      <c r="G29" s="622">
        <v>43.4</v>
      </c>
      <c r="H29" s="621">
        <v>43.9</v>
      </c>
      <c r="I29" s="621">
        <v>45.7</v>
      </c>
      <c r="J29" s="622">
        <v>47.6</v>
      </c>
      <c r="K29" s="621">
        <v>49.3</v>
      </c>
      <c r="L29" s="621">
        <v>49.9</v>
      </c>
      <c r="M29" s="623">
        <v>49.2</v>
      </c>
      <c r="N29" s="623">
        <v>51</v>
      </c>
      <c r="O29" s="623">
        <v>52.5</v>
      </c>
      <c r="P29" s="624">
        <f>SUM(O29)-N29</f>
        <v>1.5</v>
      </c>
    </row>
    <row r="30" spans="2:16" x14ac:dyDescent="0.2">
      <c r="B30" s="620" t="s">
        <v>10</v>
      </c>
      <c r="C30" s="621">
        <v>53</v>
      </c>
      <c r="D30" s="621">
        <v>52.6</v>
      </c>
      <c r="E30" s="621">
        <v>51.5</v>
      </c>
      <c r="F30" s="621">
        <v>50.6</v>
      </c>
      <c r="G30" s="622">
        <v>51.4</v>
      </c>
      <c r="H30" s="621">
        <v>52</v>
      </c>
      <c r="I30" s="621">
        <v>52.2</v>
      </c>
      <c r="J30" s="622">
        <v>52.8</v>
      </c>
      <c r="K30" s="621">
        <v>52.7</v>
      </c>
      <c r="L30" s="621">
        <v>51.7</v>
      </c>
      <c r="M30" s="623">
        <v>51.3</v>
      </c>
      <c r="N30" s="623">
        <v>53.2</v>
      </c>
      <c r="O30" s="623">
        <v>53.2</v>
      </c>
      <c r="P30" s="624">
        <f>SUM(O30)-N30</f>
        <v>0</v>
      </c>
    </row>
    <row r="31" spans="2:16" ht="24.75" thickBot="1" x14ac:dyDescent="0.25">
      <c r="B31" s="625" t="s">
        <v>503</v>
      </c>
      <c r="C31" s="626">
        <v>13.5</v>
      </c>
      <c r="D31" s="626">
        <v>13.5</v>
      </c>
      <c r="E31" s="626">
        <v>13.5</v>
      </c>
      <c r="F31" s="626">
        <v>13</v>
      </c>
      <c r="G31" s="627">
        <v>13.3</v>
      </c>
      <c r="H31" s="626">
        <v>13.8</v>
      </c>
      <c r="I31" s="626">
        <v>13.7</v>
      </c>
      <c r="J31" s="627">
        <v>14.2</v>
      </c>
      <c r="K31" s="626">
        <v>14.5</v>
      </c>
      <c r="L31" s="626">
        <v>15.2</v>
      </c>
      <c r="M31" s="628">
        <v>14.7</v>
      </c>
      <c r="N31" s="628">
        <v>16.5</v>
      </c>
      <c r="O31" s="628">
        <v>16.3</v>
      </c>
      <c r="P31" s="629">
        <f>SUM(O31)-N31</f>
        <v>-0.19999999999999929</v>
      </c>
    </row>
    <row r="32" spans="2:16" x14ac:dyDescent="0.2">
      <c r="B32" s="50" t="s">
        <v>504</v>
      </c>
      <c r="C32" s="50"/>
      <c r="D32" s="50"/>
      <c r="E32" s="50"/>
      <c r="F32" s="50"/>
      <c r="G32" s="50"/>
      <c r="H32" s="50" t="s">
        <v>505</v>
      </c>
      <c r="I32" s="50"/>
      <c r="J32" s="50"/>
      <c r="K32" s="50"/>
      <c r="L32" s="50"/>
      <c r="M32" s="50"/>
      <c r="N32" s="50"/>
      <c r="O32" s="50"/>
      <c r="P32" s="50"/>
    </row>
    <row r="33" spans="2:16" x14ac:dyDescent="0.2">
      <c r="B33" s="50" t="s">
        <v>506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 t="s">
        <v>444</v>
      </c>
    </row>
    <row r="34" spans="2:16" x14ac:dyDescent="0.2">
      <c r="P34" s="50" t="s">
        <v>445</v>
      </c>
    </row>
    <row r="35" spans="2:16" x14ac:dyDescent="0.2">
      <c r="P35" s="50" t="s">
        <v>446</v>
      </c>
    </row>
    <row r="36" spans="2:16" x14ac:dyDescent="0.2">
      <c r="P36" s="50" t="s">
        <v>447</v>
      </c>
    </row>
    <row r="37" spans="2:16" x14ac:dyDescent="0.2">
      <c r="P37" s="50" t="s">
        <v>448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</sheetPr>
  <dimension ref="B1:R32"/>
  <sheetViews>
    <sheetView zoomScale="80" zoomScaleNormal="80" workbookViewId="0">
      <selection activeCell="B1" sqref="B1"/>
    </sheetView>
  </sheetViews>
  <sheetFormatPr defaultColWidth="9.140625" defaultRowHeight="15" x14ac:dyDescent="0.25"/>
  <cols>
    <col min="1" max="1" width="2.28515625" style="11" customWidth="1"/>
    <col min="2" max="2" width="32.7109375" style="11" customWidth="1"/>
    <col min="3" max="3" width="19.28515625" style="11" customWidth="1"/>
    <col min="4" max="4" width="13.28515625" style="11" customWidth="1"/>
    <col min="5" max="5" width="13.5703125" style="11" customWidth="1"/>
    <col min="6" max="6" width="14.5703125" style="11" customWidth="1"/>
    <col min="7" max="7" width="17.42578125" style="11" customWidth="1"/>
    <col min="8" max="8" width="19.5703125" style="11" customWidth="1"/>
    <col min="9" max="9" width="19.140625" style="11" customWidth="1"/>
    <col min="10" max="10" width="18.7109375" style="11" customWidth="1"/>
    <col min="11" max="11" width="2.5703125" style="11" customWidth="1"/>
    <col min="12" max="12" width="11.140625" style="11" customWidth="1"/>
    <col min="13" max="13" width="11.28515625" style="11" customWidth="1"/>
    <col min="14" max="14" width="3.28515625" style="11" customWidth="1"/>
    <col min="15" max="15" width="9.140625" style="11"/>
    <col min="16" max="16" width="11.7109375" style="11" customWidth="1"/>
    <col min="17" max="17" width="9.140625" style="11"/>
    <col min="18" max="18" width="9.42578125" style="11" bestFit="1" customWidth="1"/>
    <col min="19" max="16384" width="9.140625" style="11"/>
  </cols>
  <sheetData>
    <row r="1" spans="2:18" x14ac:dyDescent="0.25">
      <c r="B1" s="11" t="s">
        <v>556</v>
      </c>
    </row>
    <row r="2" spans="2:18" x14ac:dyDescent="0.25">
      <c r="B2" s="11" t="s">
        <v>557</v>
      </c>
    </row>
    <row r="3" spans="2:18" ht="15.75" thickBot="1" x14ac:dyDescent="0.3">
      <c r="B3" s="11" t="s">
        <v>558</v>
      </c>
    </row>
    <row r="4" spans="2:18" ht="166.5" customHeight="1" thickBot="1" x14ac:dyDescent="0.3">
      <c r="B4" s="785" t="s">
        <v>13</v>
      </c>
      <c r="C4" s="567" t="s">
        <v>560</v>
      </c>
      <c r="D4" s="568" t="s">
        <v>416</v>
      </c>
      <c r="E4" s="570" t="s">
        <v>559</v>
      </c>
      <c r="F4" s="569" t="s">
        <v>439</v>
      </c>
      <c r="G4" s="570" t="s">
        <v>441</v>
      </c>
      <c r="H4" s="567" t="s">
        <v>561</v>
      </c>
      <c r="I4" s="571" t="s">
        <v>417</v>
      </c>
      <c r="J4" s="572" t="s">
        <v>440</v>
      </c>
      <c r="L4" s="545" t="s">
        <v>563</v>
      </c>
      <c r="M4" s="546" t="s">
        <v>562</v>
      </c>
    </row>
    <row r="5" spans="2:18" ht="24.75" customHeight="1" thickBot="1" x14ac:dyDescent="0.3">
      <c r="B5" s="548" t="s">
        <v>14</v>
      </c>
      <c r="C5" s="550">
        <f>SUM(C6:C30)</f>
        <v>65064</v>
      </c>
      <c r="D5" s="573">
        <f>SUM(D6:D30)</f>
        <v>679</v>
      </c>
      <c r="E5" s="556">
        <f>SUM(D5/C5)*100</f>
        <v>1.0435878519611459</v>
      </c>
      <c r="F5" s="550">
        <f>SUM(F6:F30)</f>
        <v>555</v>
      </c>
      <c r="G5" s="556">
        <f>(F5/D5)*100</f>
        <v>81.737849779086886</v>
      </c>
      <c r="H5" s="550">
        <f>SUM(H6:H30)</f>
        <v>1467</v>
      </c>
      <c r="I5" s="574">
        <f>SUM(I6:I30)</f>
        <v>18</v>
      </c>
      <c r="J5" s="552">
        <f>SUM(J6:J30)</f>
        <v>15</v>
      </c>
      <c r="L5" s="832" t="s">
        <v>93</v>
      </c>
      <c r="M5" s="833" t="s">
        <v>93</v>
      </c>
      <c r="O5" s="831" t="s">
        <v>442</v>
      </c>
      <c r="P5" s="831"/>
      <c r="Q5" s="831" t="s">
        <v>443</v>
      </c>
      <c r="R5" s="831"/>
    </row>
    <row r="6" spans="2:18" ht="16.5" customHeight="1" x14ac:dyDescent="0.25">
      <c r="B6" s="468" t="s">
        <v>15</v>
      </c>
      <c r="C6" s="37">
        <f>SUM(T.II!E8)</f>
        <v>984</v>
      </c>
      <c r="D6" s="114">
        <v>26</v>
      </c>
      <c r="E6" s="469">
        <f t="shared" ref="E6:E25" si="0">SUM(D6/C6)*100</f>
        <v>2.6422764227642279</v>
      </c>
      <c r="F6" s="37">
        <v>20</v>
      </c>
      <c r="G6" s="38">
        <f>(F6/D6)*100</f>
        <v>76.923076923076934</v>
      </c>
      <c r="H6" s="37">
        <v>19</v>
      </c>
      <c r="I6" s="37">
        <v>1</v>
      </c>
      <c r="J6" s="470">
        <v>1</v>
      </c>
      <c r="L6" s="471">
        <f>RANK(E6,E6:E30,0)+COUNTIF($E$6:$E$6,E6)-1</f>
        <v>3</v>
      </c>
      <c r="M6" s="472">
        <f>RANK(E6,E6:E30,1)+COUNTIF($E$6:$E$6,E6)-1</f>
        <v>23</v>
      </c>
      <c r="O6" s="457" t="str">
        <f>INDEX(B6:J30,MATCH(1,L6:L30,0),1)</f>
        <v>m. Krosno</v>
      </c>
      <c r="P6" s="299">
        <f>INDEX(B6:J30,MATCH(1,L6:L30,0),4)</f>
        <v>4</v>
      </c>
      <c r="Q6" s="136" t="str">
        <f>INDEX(B6:J30,MATCH(1,M6:M30,0),1)</f>
        <v>strzyżowski</v>
      </c>
      <c r="R6" s="299">
        <f>INDEX(B6:J30,MATCH(1,M6:M30,0),4)</f>
        <v>0.16556291390728478</v>
      </c>
    </row>
    <row r="7" spans="2:18" ht="15" customHeight="1" x14ac:dyDescent="0.25">
      <c r="B7" s="12" t="s">
        <v>16</v>
      </c>
      <c r="C7" s="13">
        <f>SUM(T.II!E9)</f>
        <v>3561</v>
      </c>
      <c r="D7" s="14">
        <v>10</v>
      </c>
      <c r="E7" s="466">
        <f t="shared" si="0"/>
        <v>0.28081999438360011</v>
      </c>
      <c r="F7" s="13">
        <v>9</v>
      </c>
      <c r="G7" s="26">
        <f t="shared" ref="G7:G14" si="1">(F7/D7)*100</f>
        <v>90</v>
      </c>
      <c r="H7" s="13">
        <v>32</v>
      </c>
      <c r="I7" s="13">
        <v>0</v>
      </c>
      <c r="J7" s="15">
        <v>0</v>
      </c>
      <c r="L7" s="51">
        <f>RANK(E7,E6:$E$30,0)+COUNTIF($E$6:$E$7,E7)-1</f>
        <v>23</v>
      </c>
      <c r="M7" s="342">
        <f>RANK(E7,$E6:E$30,1)+COUNTIF($E$6:$E$7,E7)-1</f>
        <v>3</v>
      </c>
      <c r="O7" s="457" t="str">
        <f>INDEX(B6:J30,MATCH(2,L6:L30,0),1)</f>
        <v>m. Tarnobrzeg</v>
      </c>
      <c r="P7" s="299">
        <f>INDEX(B6:J30,MATCH(2,L6:L30,0),4)</f>
        <v>3.1884057971014492</v>
      </c>
      <c r="Q7" s="136" t="str">
        <f>INDEX(B6:J30,MATCH(2,M6:M30,0),1)</f>
        <v>przemyski</v>
      </c>
      <c r="R7" s="299">
        <f>INDEX(B6:J30,MATCH(2,M6:M30,0),4)</f>
        <v>0.17895490336435219</v>
      </c>
    </row>
    <row r="8" spans="2:18" ht="15" customHeight="1" x14ac:dyDescent="0.25">
      <c r="B8" s="12" t="s">
        <v>17</v>
      </c>
      <c r="C8" s="13">
        <f>SUM(T.II!E10)</f>
        <v>2393</v>
      </c>
      <c r="D8" s="14">
        <v>29</v>
      </c>
      <c r="E8" s="466">
        <f t="shared" si="0"/>
        <v>1.2118679481821981</v>
      </c>
      <c r="F8" s="13">
        <v>26</v>
      </c>
      <c r="G8" s="26">
        <f t="shared" si="1"/>
        <v>89.65517241379311</v>
      </c>
      <c r="H8" s="13">
        <v>53</v>
      </c>
      <c r="I8" s="13">
        <v>2</v>
      </c>
      <c r="J8" s="15">
        <v>2</v>
      </c>
      <c r="L8" s="51">
        <f>RANK(E8,E6:$E$30,0)+COUNTIF($E$6:$E$8,E8)-1</f>
        <v>9</v>
      </c>
      <c r="M8" s="342">
        <f>RANK(E8,$E6:E$30,1)+COUNTIF($E$6:$E$8,E8)-1</f>
        <v>17</v>
      </c>
      <c r="O8" s="457" t="str">
        <f>INDEX(B6:J30,MATCH(3,L6:L30,0),1)</f>
        <v>bieszczadzki</v>
      </c>
      <c r="P8" s="299">
        <f>INDEX(B6:J30,MATCH(3,L6:L30,0),4)</f>
        <v>2.6422764227642279</v>
      </c>
      <c r="Q8" s="136" t="str">
        <f>INDEX(B6:J30,MATCH(3,M6:M30,0),1)</f>
        <v>brzozowski</v>
      </c>
      <c r="R8" s="299">
        <f>INDEX(B6:J30,MATCH(3,M6:M30,0),4)</f>
        <v>0.28081999438360011</v>
      </c>
    </row>
    <row r="9" spans="2:18" ht="15.75" customHeight="1" x14ac:dyDescent="0.25">
      <c r="B9" s="12" t="s">
        <v>18</v>
      </c>
      <c r="C9" s="13">
        <f>SUM(T.II!E11)</f>
        <v>4248</v>
      </c>
      <c r="D9" s="14">
        <v>53</v>
      </c>
      <c r="E9" s="466">
        <f t="shared" si="0"/>
        <v>1.2476459510357816</v>
      </c>
      <c r="F9" s="13">
        <v>41</v>
      </c>
      <c r="G9" s="26">
        <f t="shared" si="1"/>
        <v>77.358490566037744</v>
      </c>
      <c r="H9" s="13">
        <v>79</v>
      </c>
      <c r="I9" s="13">
        <v>0</v>
      </c>
      <c r="J9" s="15">
        <v>0</v>
      </c>
      <c r="L9" s="51">
        <f>RANK(E9,E6:$E$30,0)+COUNTIF($E$6:$E$9,E9)-1</f>
        <v>8</v>
      </c>
      <c r="M9" s="342">
        <f>RANK(E9,$E6:E$30,1)+COUNTIF($E$6:$E$9,E9)-1</f>
        <v>18</v>
      </c>
      <c r="O9" s="457" t="str">
        <f>INDEX(B6:J30,MATCH(4,L6:L30,0),1)</f>
        <v>m. Rzeszów</v>
      </c>
      <c r="P9" s="299">
        <f>INDEX(B6:J30,MATCH(4,L6:L30,0),4)</f>
        <v>2.439485627836611</v>
      </c>
      <c r="Q9" s="136" t="str">
        <f>INDEX(B6:J30,MATCH(4,M6:M30,0),1)</f>
        <v>lubaczowski</v>
      </c>
      <c r="R9" s="299">
        <f>INDEX(B6:J30,MATCH(4,M6:M30,0),4)</f>
        <v>0.31786395422759062</v>
      </c>
    </row>
    <row r="10" spans="2:18" ht="16.5" customHeight="1" x14ac:dyDescent="0.25">
      <c r="B10" s="12" t="s">
        <v>19</v>
      </c>
      <c r="C10" s="13">
        <f>SUM(T.II!E12)</f>
        <v>4686</v>
      </c>
      <c r="D10" s="14">
        <v>18</v>
      </c>
      <c r="E10" s="466">
        <f t="shared" si="0"/>
        <v>0.38412291933418691</v>
      </c>
      <c r="F10" s="13">
        <v>13</v>
      </c>
      <c r="G10" s="26">
        <f t="shared" si="1"/>
        <v>72.222222222222214</v>
      </c>
      <c r="H10" s="13">
        <v>49</v>
      </c>
      <c r="I10" s="13">
        <v>0</v>
      </c>
      <c r="J10" s="15">
        <v>0</v>
      </c>
      <c r="L10" s="51">
        <f>RANK(E10,E6:$E$30,0)+COUNTIF($E$6:$E$10,E10)-1</f>
        <v>21</v>
      </c>
      <c r="M10" s="342">
        <f>RANK(E10,$E6:E$30,1)+COUNTIF($E$6:$E$10,E10)-1</f>
        <v>5</v>
      </c>
      <c r="O10" s="457" t="str">
        <f>INDEX(B6:J30,MATCH(5,L6:L30,0),1)</f>
        <v>mielecki</v>
      </c>
      <c r="P10" s="299">
        <f>INDEX(B6:J30,MATCH(5,L6:L30,0),4)</f>
        <v>2.3347701149425286</v>
      </c>
      <c r="Q10" s="136" t="str">
        <f>INDEX(B6:J30,MATCH(5,M6:M30,0),1)</f>
        <v>jasielski</v>
      </c>
      <c r="R10" s="299">
        <f>INDEX(B6:J30,MATCH(5,M6:M30,0),4)</f>
        <v>0.38412291933418691</v>
      </c>
    </row>
    <row r="11" spans="2:18" ht="15.75" customHeight="1" x14ac:dyDescent="0.25">
      <c r="B11" s="12" t="s">
        <v>20</v>
      </c>
      <c r="C11" s="13">
        <f>SUM(T.II!E13)</f>
        <v>1519</v>
      </c>
      <c r="D11" s="14">
        <v>7</v>
      </c>
      <c r="E11" s="466">
        <f t="shared" si="0"/>
        <v>0.46082949308755761</v>
      </c>
      <c r="F11" s="13">
        <v>6</v>
      </c>
      <c r="G11" s="26">
        <f t="shared" si="1"/>
        <v>85.714285714285708</v>
      </c>
      <c r="H11" s="13">
        <v>36</v>
      </c>
      <c r="I11" s="13">
        <v>2</v>
      </c>
      <c r="J11" s="15">
        <v>1</v>
      </c>
      <c r="L11" s="51">
        <f>RANK(E11,E6:$E$30,0)+COUNTIF($E$6:$E$11,E11)-1</f>
        <v>18</v>
      </c>
      <c r="M11" s="342">
        <f>RANK(E11,$E6:E$30,1)+COUNTIF($E$6:$E$11,E11)-1</f>
        <v>8</v>
      </c>
      <c r="O11" s="457" t="str">
        <f>INDEX(B6:J30,MATCH(6,L6:L30,0),1)</f>
        <v>stalowowolski</v>
      </c>
      <c r="P11" s="299">
        <f>INDEX(B6:J30,MATCH(6,L6:L30,0),4)</f>
        <v>1.7269293038316245</v>
      </c>
      <c r="Q11" s="136" t="str">
        <f>INDEX(B6:J30,MATCH(6,M6:M30,0),1)</f>
        <v>krośnieński</v>
      </c>
      <c r="R11" s="299">
        <f>INDEX(B6:J30,MATCH(6,M6:M30,0),4)</f>
        <v>0.38535645472061658</v>
      </c>
    </row>
    <row r="12" spans="2:18" ht="15" customHeight="1" x14ac:dyDescent="0.25">
      <c r="B12" s="12" t="s">
        <v>21</v>
      </c>
      <c r="C12" s="13">
        <f>SUM(T.II!E14)</f>
        <v>2076</v>
      </c>
      <c r="D12" s="14">
        <v>8</v>
      </c>
      <c r="E12" s="466">
        <f t="shared" si="0"/>
        <v>0.38535645472061658</v>
      </c>
      <c r="F12" s="13">
        <v>4</v>
      </c>
      <c r="G12" s="26">
        <f t="shared" si="1"/>
        <v>50</v>
      </c>
      <c r="H12" s="13">
        <v>41</v>
      </c>
      <c r="I12" s="13">
        <v>0</v>
      </c>
      <c r="J12" s="15">
        <v>0</v>
      </c>
      <c r="L12" s="51">
        <f>RANK(E12,E6:$E$30,0)+COUNTIF($E$6:$E$12,E12)-1</f>
        <v>20</v>
      </c>
      <c r="M12" s="342">
        <f>RANK(E12,$E6:E$30,1)+COUNTIF($E$6:$E$12,E12)-1</f>
        <v>6</v>
      </c>
      <c r="O12" s="457" t="str">
        <f>INDEX(B6:J30,MATCH(7,L6:L30,0),1)</f>
        <v>tarnobrzeski</v>
      </c>
      <c r="P12" s="299">
        <f>INDEX(B6:J30,MATCH(7,L6:L30,0),4)</f>
        <v>1.5715467328370554</v>
      </c>
      <c r="Q12" s="136" t="str">
        <f>INDEX(B6:J30,MATCH(7,M6:M30,0),1)</f>
        <v>rzeszowski</v>
      </c>
      <c r="R12" s="299">
        <f>INDEX(B6:J30,MATCH(7,M6:M30,0),4)</f>
        <v>0.41349292709466806</v>
      </c>
    </row>
    <row r="13" spans="2:18" x14ac:dyDescent="0.25">
      <c r="B13" s="557" t="s">
        <v>22</v>
      </c>
      <c r="C13" s="559">
        <f>SUM(T.II!E15)</f>
        <v>1571</v>
      </c>
      <c r="D13" s="575">
        <v>17</v>
      </c>
      <c r="E13" s="576">
        <f t="shared" si="0"/>
        <v>1.0821133036282622</v>
      </c>
      <c r="F13" s="559">
        <v>13</v>
      </c>
      <c r="G13" s="565">
        <f t="shared" si="1"/>
        <v>76.470588235294116</v>
      </c>
      <c r="H13" s="559">
        <v>30</v>
      </c>
      <c r="I13" s="559">
        <v>0</v>
      </c>
      <c r="J13" s="561">
        <v>0</v>
      </c>
      <c r="L13" s="577">
        <f>RANK(E13,E6:$E$30,0)+COUNTIF($E$6:$E$13,E13)-1</f>
        <v>12</v>
      </c>
      <c r="M13" s="578">
        <f>RANK(E13,$E6:E$30,1)+COUNTIF($E$6:$E$13,E13)-1</f>
        <v>14</v>
      </c>
      <c r="O13" s="457" t="str">
        <f>INDEX(B6:J30,MATCH(8,L6:L30,0),1)</f>
        <v>jarosławski</v>
      </c>
      <c r="P13" s="299">
        <f>INDEX(B6:J30,MATCH(8,L6:L30,0),4)</f>
        <v>1.2476459510357816</v>
      </c>
      <c r="Q13" s="136" t="str">
        <f>INDEX(B6:J30,MATCH(8,M6:M30,0),1)</f>
        <v>kolbuszowski</v>
      </c>
      <c r="R13" s="299">
        <f>INDEX(B6:J30,MATCH(8,M6:M30,0),4)</f>
        <v>0.46082949308755761</v>
      </c>
    </row>
    <row r="14" spans="2:18" ht="16.5" customHeight="1" x14ac:dyDescent="0.25">
      <c r="B14" s="12" t="s">
        <v>23</v>
      </c>
      <c r="C14" s="13">
        <f>SUM(T.II!E16)</f>
        <v>2898</v>
      </c>
      <c r="D14" s="14">
        <v>31</v>
      </c>
      <c r="E14" s="466">
        <f t="shared" si="0"/>
        <v>1.069703243616287</v>
      </c>
      <c r="F14" s="13">
        <v>29</v>
      </c>
      <c r="G14" s="26">
        <f t="shared" si="1"/>
        <v>93.548387096774192</v>
      </c>
      <c r="H14" s="13">
        <v>82</v>
      </c>
      <c r="I14" s="13">
        <v>0</v>
      </c>
      <c r="J14" s="15">
        <v>0</v>
      </c>
      <c r="L14" s="51">
        <f>RANK(E14,E6:$E$30,0)+COUNTIF($E$6:$E$14,E14)-1</f>
        <v>13</v>
      </c>
      <c r="M14" s="342">
        <f>RANK(E14,$E6:E$30,1)+COUNTIF($E$6:$E$14,E14)-1</f>
        <v>13</v>
      </c>
      <c r="O14" s="457" t="str">
        <f>INDEX(B6:J30,MATCH(9,L6:L30,0),1)</f>
        <v>dębicki</v>
      </c>
      <c r="P14" s="299">
        <f>INDEX(B6:J30,MATCH(9,L6:L30,0),4)</f>
        <v>1.2118679481821981</v>
      </c>
      <c r="Q14" s="136" t="str">
        <f>INDEX(B6:J30,MATCH(9,M6:M30,0),1)</f>
        <v>niżański</v>
      </c>
      <c r="R14" s="299">
        <f>INDEX(B6:J30,MATCH(9,M6:M30,0),4)</f>
        <v>0.53173811897640411</v>
      </c>
    </row>
    <row r="15" spans="2:18" x14ac:dyDescent="0.25">
      <c r="B15" s="12" t="s">
        <v>24</v>
      </c>
      <c r="C15" s="13">
        <f>SUM(T.II!E17)</f>
        <v>1573</v>
      </c>
      <c r="D15" s="14">
        <v>5</v>
      </c>
      <c r="E15" s="466">
        <f t="shared" si="0"/>
        <v>0.31786395422759062</v>
      </c>
      <c r="F15" s="13">
        <v>4</v>
      </c>
      <c r="G15" s="26">
        <f t="shared" ref="G15:G24" si="2">(F15/D15)*100</f>
        <v>80</v>
      </c>
      <c r="H15" s="13">
        <v>39</v>
      </c>
      <c r="I15" s="13">
        <v>0</v>
      </c>
      <c r="J15" s="15">
        <v>0</v>
      </c>
      <c r="L15" s="51">
        <f>RANK(E15,E6:$E$30,0)+COUNTIF($E$6:$E$15,E15)-1</f>
        <v>22</v>
      </c>
      <c r="M15" s="342">
        <f>RANK(E15,$E6:E$30,1)+COUNTIF($E$6:$E$15,E15)-1</f>
        <v>4</v>
      </c>
      <c r="O15" s="457" t="str">
        <f>INDEX(B6:J30,MATCH(10,L6:L30,0),1)</f>
        <v>m. Przemyśl</v>
      </c>
      <c r="P15" s="299">
        <f>INDEX(B6:J30,MATCH(10,L6:L30,0),4)</f>
        <v>1.2008281573498965</v>
      </c>
      <c r="Q15" s="136" t="str">
        <f>INDEX(B6:J30,MATCH(10,M6:M30,0),1)</f>
        <v>ropczycko-sędziszowski</v>
      </c>
      <c r="R15" s="299">
        <f>INDEX(B6:J30,MATCH(10,M6:M30,0),4)</f>
        <v>0.54708870652598662</v>
      </c>
    </row>
    <row r="16" spans="2:18" x14ac:dyDescent="0.25">
      <c r="B16" s="12" t="s">
        <v>25</v>
      </c>
      <c r="C16" s="13">
        <f>SUM(T.II!E18)</f>
        <v>2476</v>
      </c>
      <c r="D16" s="14">
        <v>27</v>
      </c>
      <c r="E16" s="466">
        <f t="shared" si="0"/>
        <v>1.0904684975767367</v>
      </c>
      <c r="F16" s="13">
        <v>22</v>
      </c>
      <c r="G16" s="26">
        <f t="shared" si="2"/>
        <v>81.481481481481481</v>
      </c>
      <c r="H16" s="13">
        <v>21</v>
      </c>
      <c r="I16" s="13">
        <v>0</v>
      </c>
      <c r="J16" s="15">
        <v>0</v>
      </c>
      <c r="L16" s="51">
        <f>RANK(E16,E6:$E$30,0)+COUNTIF($E$6:$E$16,E16)-1</f>
        <v>11</v>
      </c>
      <c r="M16" s="342">
        <f>RANK(E16,$E6:E$30,1)+COUNTIF($E$6:$E$16,E16)-1</f>
        <v>15</v>
      </c>
      <c r="O16" s="457" t="str">
        <f>INDEX(B6:J30,MATCH(11,L6:L30,0),1)</f>
        <v>łańcucki</v>
      </c>
      <c r="P16" s="299">
        <f>INDEX(B6:J30,MATCH(11,L6:L30,0),4)</f>
        <v>1.0904684975767367</v>
      </c>
      <c r="Q16" s="136" t="str">
        <f>INDEX(B6:J30,MATCH(11,M6:M30,0),1)</f>
        <v>sanocki</v>
      </c>
      <c r="R16" s="299">
        <f>INDEX(B6:J30,MATCH(11,M6:M30,0),4)</f>
        <v>0.83207261724659609</v>
      </c>
    </row>
    <row r="17" spans="2:18" x14ac:dyDescent="0.25">
      <c r="B17" s="12" t="s">
        <v>26</v>
      </c>
      <c r="C17" s="13">
        <f>SUM(T.II!E19)</f>
        <v>2784</v>
      </c>
      <c r="D17" s="14">
        <v>65</v>
      </c>
      <c r="E17" s="466">
        <f t="shared" si="0"/>
        <v>2.3347701149425286</v>
      </c>
      <c r="F17" s="13">
        <v>54</v>
      </c>
      <c r="G17" s="26">
        <f t="shared" si="2"/>
        <v>83.07692307692308</v>
      </c>
      <c r="H17" s="13">
        <v>47</v>
      </c>
      <c r="I17" s="13">
        <v>0</v>
      </c>
      <c r="J17" s="15">
        <v>0</v>
      </c>
      <c r="L17" s="51">
        <f>RANK(E17,E6:$E$30,0)+COUNTIF($E$6:$E$17,E17)-1</f>
        <v>5</v>
      </c>
      <c r="M17" s="342">
        <f>RANK(E17,$E6:E$30,1)+COUNTIF($E$6:$E$17,E17)-1</f>
        <v>21</v>
      </c>
      <c r="O17" s="457" t="str">
        <f>INDEX(B6:J30,MATCH(12,L6:L30,0),1)</f>
        <v>leski</v>
      </c>
      <c r="P17" s="299">
        <f>INDEX(B6:J30,MATCH(12,L6:L30,0),4)</f>
        <v>1.0821133036282622</v>
      </c>
      <c r="Q17" s="136" t="str">
        <f>INDEX(B6:J30,MATCH(12,M6:M30,0),1)</f>
        <v>przeworski</v>
      </c>
      <c r="R17" s="299">
        <f>INDEX(B6:J30,MATCH(12,M6:M30,0),4)</f>
        <v>0.98443950460463636</v>
      </c>
    </row>
    <row r="18" spans="2:18" x14ac:dyDescent="0.25">
      <c r="B18" s="12" t="s">
        <v>27</v>
      </c>
      <c r="C18" s="13">
        <f>SUM(T.II!E20)</f>
        <v>3009</v>
      </c>
      <c r="D18" s="14">
        <v>16</v>
      </c>
      <c r="E18" s="466">
        <f t="shared" si="0"/>
        <v>0.53173811897640411</v>
      </c>
      <c r="F18" s="13">
        <v>15</v>
      </c>
      <c r="G18" s="26">
        <f t="shared" si="2"/>
        <v>93.75</v>
      </c>
      <c r="H18" s="13">
        <v>24</v>
      </c>
      <c r="I18" s="13">
        <v>0</v>
      </c>
      <c r="J18" s="15">
        <v>0</v>
      </c>
      <c r="L18" s="51">
        <f>RANK(E18,E6:$E$30,0)+COUNTIF($E$6:$E$18,E18)-1</f>
        <v>17</v>
      </c>
      <c r="M18" s="342">
        <f>RANK(E18,$E6:E$30,1)+COUNTIF($E$6:$E$18,E18)-1</f>
        <v>9</v>
      </c>
      <c r="O18" s="457" t="str">
        <f>INDEX(B6:J30,MATCH(13,L6:L30,0),1)</f>
        <v>leżajski</v>
      </c>
      <c r="P18" s="299">
        <f>INDEX(B6:J30,MATCH(13,L6:L30,0),4)</f>
        <v>1.069703243616287</v>
      </c>
      <c r="Q18" s="136" t="str">
        <f>INDEX(B6:J30,MATCH(13,M6:M30,0),1)</f>
        <v>leżajski</v>
      </c>
      <c r="R18" s="299">
        <f>INDEX(B6:J30,MATCH(13,M6:M30,0),4)</f>
        <v>1.069703243616287</v>
      </c>
    </row>
    <row r="19" spans="2:18" x14ac:dyDescent="0.25">
      <c r="B19" s="17" t="s">
        <v>28</v>
      </c>
      <c r="C19" s="13">
        <f>SUM(T.II!E21)</f>
        <v>2794</v>
      </c>
      <c r="D19" s="14">
        <v>5</v>
      </c>
      <c r="E19" s="466">
        <f t="shared" si="0"/>
        <v>0.17895490336435219</v>
      </c>
      <c r="F19" s="13">
        <v>3</v>
      </c>
      <c r="G19" s="26">
        <f t="shared" si="2"/>
        <v>60</v>
      </c>
      <c r="H19" s="13">
        <v>57</v>
      </c>
      <c r="I19" s="13">
        <v>1</v>
      </c>
      <c r="J19" s="15">
        <v>1</v>
      </c>
      <c r="L19" s="51">
        <f>RANK(E19,E6:$E$30,0)+COUNTIF($E$6:$E$19,E19)-1</f>
        <v>24</v>
      </c>
      <c r="M19" s="342">
        <f>RANK(E19,$E6:E$30,1)+COUNTIF($E$6:$E$19,E19)-1</f>
        <v>2</v>
      </c>
      <c r="O19" s="457" t="str">
        <f>INDEX(B6:J30,MATCH(14,L6:L30,0),1)</f>
        <v>przeworski</v>
      </c>
      <c r="P19" s="299">
        <f>INDEX(B6:J30,MATCH(14,L6:L30,0),4)</f>
        <v>0.98443950460463636</v>
      </c>
      <c r="Q19" s="136" t="str">
        <f>INDEX(B6:J30,MATCH(14,M6:M30,0),1)</f>
        <v>leski</v>
      </c>
      <c r="R19" s="299">
        <f>INDEX(B6:J30,MATCH(14,M6:M30,0),4)</f>
        <v>1.0821133036282622</v>
      </c>
    </row>
    <row r="20" spans="2:18" x14ac:dyDescent="0.25">
      <c r="B20" s="17" t="s">
        <v>29</v>
      </c>
      <c r="C20" s="13">
        <f>SUM(T.II!E22)</f>
        <v>3149</v>
      </c>
      <c r="D20" s="14">
        <v>31</v>
      </c>
      <c r="E20" s="466">
        <f t="shared" si="0"/>
        <v>0.98443950460463636</v>
      </c>
      <c r="F20" s="13">
        <v>27</v>
      </c>
      <c r="G20" s="26">
        <f t="shared" si="2"/>
        <v>87.096774193548384</v>
      </c>
      <c r="H20" s="13">
        <v>30</v>
      </c>
      <c r="I20" s="13">
        <v>0</v>
      </c>
      <c r="J20" s="15">
        <v>0</v>
      </c>
      <c r="L20" s="51">
        <f>RANK(E20,E6:$E$30,0)+COUNTIF($E$6:$E$20,E20)-1</f>
        <v>14</v>
      </c>
      <c r="M20" s="342">
        <f>RANK(E20,$E6:E$30,1)+COUNTIF($E$6:$E$20,E20)-1</f>
        <v>12</v>
      </c>
      <c r="O20" s="457" t="str">
        <f>INDEX(B6:J30,MATCH(15,L6:L30,0),1)</f>
        <v>sanocki</v>
      </c>
      <c r="P20" s="299">
        <f>INDEX(B6:J30,MATCH(15,L6:L30,0),4)</f>
        <v>0.83207261724659609</v>
      </c>
      <c r="Q20" s="136" t="str">
        <f>INDEX(B6:J30,MATCH(15,M6:M30,0),1)</f>
        <v>łańcucki</v>
      </c>
      <c r="R20" s="299">
        <f>INDEX(B6:J30,MATCH(15,M6:M30,0),4)</f>
        <v>1.0904684975767367</v>
      </c>
    </row>
    <row r="21" spans="2:18" x14ac:dyDescent="0.25">
      <c r="B21" s="17" t="s">
        <v>30</v>
      </c>
      <c r="C21" s="13">
        <f>SUM(T.II!E23)</f>
        <v>2559</v>
      </c>
      <c r="D21" s="14">
        <v>14</v>
      </c>
      <c r="E21" s="466">
        <f t="shared" si="0"/>
        <v>0.54708870652598662</v>
      </c>
      <c r="F21" s="13">
        <v>12</v>
      </c>
      <c r="G21" s="26">
        <f t="shared" si="2"/>
        <v>85.714285714285708</v>
      </c>
      <c r="H21" s="13">
        <v>55</v>
      </c>
      <c r="I21" s="13">
        <v>1</v>
      </c>
      <c r="J21" s="15">
        <v>1</v>
      </c>
      <c r="L21" s="51">
        <f>RANK(E21,E6:$E$30,0)+COUNTIF($E$6:$E$21,E21)-1</f>
        <v>16</v>
      </c>
      <c r="M21" s="342">
        <f>RANK(E21,$E6:E$30,1)+COUNTIF($E$6:$E$21,E21)-1</f>
        <v>10</v>
      </c>
      <c r="O21" s="457" t="str">
        <f>INDEX(B6:J30,MATCH(16,L6:L30,0),1)</f>
        <v>ropczycko-sędziszowski</v>
      </c>
      <c r="P21" s="299">
        <f>INDEX(B6:J30,MATCH(16,L6:L30,0),4)</f>
        <v>0.54708870652598662</v>
      </c>
      <c r="Q21" s="136" t="str">
        <f>INDEX(B6:J30,MATCH(16,M6:M30,0),1)</f>
        <v>m. Przemyśl</v>
      </c>
      <c r="R21" s="299">
        <f>INDEX(B6:J30,MATCH(16,M6:M30,0),4)</f>
        <v>1.2008281573498965</v>
      </c>
    </row>
    <row r="22" spans="2:18" x14ac:dyDescent="0.25">
      <c r="B22" s="17" t="s">
        <v>31</v>
      </c>
      <c r="C22" s="13">
        <f>SUM(T.II!E24)</f>
        <v>4595</v>
      </c>
      <c r="D22" s="14">
        <v>19</v>
      </c>
      <c r="E22" s="466">
        <f t="shared" si="0"/>
        <v>0.41349292709466806</v>
      </c>
      <c r="F22" s="13">
        <v>17</v>
      </c>
      <c r="G22" s="26">
        <f t="shared" si="2"/>
        <v>89.473684210526315</v>
      </c>
      <c r="H22" s="13">
        <v>72</v>
      </c>
      <c r="I22" s="13">
        <v>1</v>
      </c>
      <c r="J22" s="15">
        <v>1</v>
      </c>
      <c r="L22" s="51">
        <f>RANK(E22,E6:$E$30,0)+COUNTIF($E$6:$E$22,E22)-1</f>
        <v>19</v>
      </c>
      <c r="M22" s="342">
        <f>RANK(E22,$E6:E$30,1)+COUNTIF($E$6:$E$22,E22)-1</f>
        <v>7</v>
      </c>
      <c r="O22" s="457" t="str">
        <f>INDEX(B6:J30,MATCH(17,L6:L30,0),1)</f>
        <v>niżański</v>
      </c>
      <c r="P22" s="299">
        <f>INDEX(B6:J30,MATCH(17,L6:L30,0),4)</f>
        <v>0.53173811897640411</v>
      </c>
      <c r="Q22" s="136" t="str">
        <f>INDEX(B6:J30,MATCH(17,M6:M30,0),1)</f>
        <v>dębicki</v>
      </c>
      <c r="R22" s="299">
        <f>INDEX(B6:J30,MATCH(17,M6:M30,0),4)</f>
        <v>1.2118679481821981</v>
      </c>
    </row>
    <row r="23" spans="2:18" x14ac:dyDescent="0.25">
      <c r="B23" s="17" t="s">
        <v>32</v>
      </c>
      <c r="C23" s="13">
        <f>SUM(T.II!E25)</f>
        <v>2644</v>
      </c>
      <c r="D23" s="14">
        <v>22</v>
      </c>
      <c r="E23" s="466">
        <f t="shared" si="0"/>
        <v>0.83207261724659609</v>
      </c>
      <c r="F23" s="13">
        <v>21</v>
      </c>
      <c r="G23" s="26">
        <f t="shared" si="2"/>
        <v>95.454545454545453</v>
      </c>
      <c r="H23" s="13">
        <v>98</v>
      </c>
      <c r="I23" s="13">
        <v>1</v>
      </c>
      <c r="J23" s="15">
        <v>1</v>
      </c>
      <c r="L23" s="51">
        <f>RANK(E23,E6:$E$30,0)+COUNTIF($E$6:$E$23,E23)-1</f>
        <v>15</v>
      </c>
      <c r="M23" s="342">
        <f>RANK(E23,$E6:E$30,1)+COUNTIF($E$6:$E$23,E23)-1</f>
        <v>11</v>
      </c>
      <c r="O23" s="457" t="str">
        <f>INDEX(B6:J30,MATCH(18,L6:L30,0),1)</f>
        <v>kolbuszowski</v>
      </c>
      <c r="P23" s="299">
        <f>INDEX(B6:J30,MATCH(18,L6:L30,0),4)</f>
        <v>0.46082949308755761</v>
      </c>
      <c r="Q23" s="136" t="str">
        <f>INDEX(B6:J30,MATCH(18,M6:M30,0),1)</f>
        <v>jarosławski</v>
      </c>
      <c r="R23" s="299">
        <f>INDEX(B6:J30,MATCH(18,M6:M30,0),4)</f>
        <v>1.2476459510357816</v>
      </c>
    </row>
    <row r="24" spans="2:18" x14ac:dyDescent="0.25">
      <c r="B24" s="17" t="s">
        <v>33</v>
      </c>
      <c r="C24" s="13">
        <f>SUM(T.II!E26)</f>
        <v>1853</v>
      </c>
      <c r="D24" s="14">
        <v>32</v>
      </c>
      <c r="E24" s="466">
        <f t="shared" si="0"/>
        <v>1.7269293038316245</v>
      </c>
      <c r="F24" s="13">
        <v>30</v>
      </c>
      <c r="G24" s="26">
        <f t="shared" si="2"/>
        <v>93.75</v>
      </c>
      <c r="H24" s="13">
        <v>56</v>
      </c>
      <c r="I24" s="13">
        <v>0</v>
      </c>
      <c r="J24" s="15">
        <v>0</v>
      </c>
      <c r="L24" s="51">
        <f>RANK(E24,E6:$E$30,0)+COUNTIF($E$6:$E$24,E24)-1</f>
        <v>6</v>
      </c>
      <c r="M24" s="342">
        <f>RANK(E24,$E6:E$30,1)+COUNTIF($E$6:$E$24,E24)-1</f>
        <v>20</v>
      </c>
      <c r="O24" s="457" t="str">
        <f>INDEX(B6:J30,MATCH(19,L6:L30,0),1)</f>
        <v>rzeszowski</v>
      </c>
      <c r="P24" s="299">
        <f>INDEX(B6:J30,MATCH(19,L6:L30,0),4)</f>
        <v>0.41349292709466806</v>
      </c>
      <c r="Q24" s="136" t="str">
        <f>INDEX(B6:J30,MATCH(19,M6:M30,0),1)</f>
        <v>tarnobrzeski</v>
      </c>
      <c r="R24" s="299">
        <f>INDEX(B6:J30,MATCH(19,M6:M30,0),4)</f>
        <v>1.5715467328370554</v>
      </c>
    </row>
    <row r="25" spans="2:18" x14ac:dyDescent="0.25">
      <c r="B25" s="17" t="s">
        <v>34</v>
      </c>
      <c r="C25" s="13">
        <f>SUM(T.II!E27)</f>
        <v>3020</v>
      </c>
      <c r="D25" s="14">
        <v>5</v>
      </c>
      <c r="E25" s="466">
        <f t="shared" si="0"/>
        <v>0.16556291390728478</v>
      </c>
      <c r="F25" s="13">
        <v>3</v>
      </c>
      <c r="G25" s="26">
        <f t="shared" ref="G25:G30" si="3">(F25/D25)*100</f>
        <v>60</v>
      </c>
      <c r="H25" s="13">
        <v>34</v>
      </c>
      <c r="I25" s="13">
        <v>0</v>
      </c>
      <c r="J25" s="15">
        <v>0</v>
      </c>
      <c r="L25" s="51">
        <f>RANK(E25,E6:$E$30,0)+COUNTIF($E$6:$E$25,E25)-1</f>
        <v>25</v>
      </c>
      <c r="M25" s="342">
        <f>RANK(E25,$E6:E$30,1)+COUNTIF($E$6:$E$25,E25)-1</f>
        <v>1</v>
      </c>
      <c r="O25" s="457" t="str">
        <f>INDEX(B6:J30,MATCH(20,L6:L30,0),1)</f>
        <v>krośnieński</v>
      </c>
      <c r="P25" s="299">
        <f>INDEX(B6:J30,MATCH(20,L6:L30,0),4)</f>
        <v>0.38535645472061658</v>
      </c>
      <c r="Q25" s="136" t="str">
        <f>INDEX(B6:J30,MATCH(20,M6:M30,0),1)</f>
        <v>stalowowolski</v>
      </c>
      <c r="R25" s="299">
        <f>INDEX(B6:J30,MATCH(20,M6:M30,0),4)</f>
        <v>1.7269293038316245</v>
      </c>
    </row>
    <row r="26" spans="2:18" x14ac:dyDescent="0.25">
      <c r="B26" s="824" t="s">
        <v>35</v>
      </c>
      <c r="C26" s="29">
        <f>SUM(T.II!E28)</f>
        <v>1209</v>
      </c>
      <c r="D26" s="789">
        <v>19</v>
      </c>
      <c r="E26" s="825">
        <f>SUM(D26/C26)*100</f>
        <v>1.5715467328370554</v>
      </c>
      <c r="F26" s="29">
        <v>12</v>
      </c>
      <c r="G26" s="30">
        <f t="shared" si="3"/>
        <v>63.157894736842103</v>
      </c>
      <c r="H26" s="29">
        <v>106</v>
      </c>
      <c r="I26" s="29">
        <v>0</v>
      </c>
      <c r="J26" s="826">
        <v>0</v>
      </c>
      <c r="L26" s="827">
        <f>RANK(E26,E6:$E$30,0)+COUNTIF($E$6:$E$26,E26)-1</f>
        <v>7</v>
      </c>
      <c r="M26" s="828">
        <f>RANK(E26,$E6:E$30,1)+COUNTIF($E$6:$E$26,E26)-1</f>
        <v>19</v>
      </c>
      <c r="O26" s="457" t="str">
        <f>INDEX(B6:J30,MATCH(21,L6:L30,0),1)</f>
        <v>jasielski</v>
      </c>
      <c r="P26" s="299">
        <f>INDEX(B6:J30,MATCH(21,L6:L30,0),4)</f>
        <v>0.38412291933418691</v>
      </c>
      <c r="Q26" s="136" t="str">
        <f>INDEX(B6:J30,MATCH(21,M6:M30,0),1)</f>
        <v>mielecki</v>
      </c>
      <c r="R26" s="299">
        <f>INDEX(B6:J30,MATCH(21,M6:M30,0),4)</f>
        <v>2.3347701149425286</v>
      </c>
    </row>
    <row r="27" spans="2:18" x14ac:dyDescent="0.25">
      <c r="B27" s="17" t="s">
        <v>271</v>
      </c>
      <c r="C27" s="13">
        <f>SUM(T.II!E29)</f>
        <v>725</v>
      </c>
      <c r="D27" s="14">
        <v>29</v>
      </c>
      <c r="E27" s="466">
        <f>SUM(D27/C27)*100</f>
        <v>4</v>
      </c>
      <c r="F27" s="13">
        <v>27</v>
      </c>
      <c r="G27" s="26">
        <f t="shared" si="3"/>
        <v>93.103448275862064</v>
      </c>
      <c r="H27" s="13">
        <v>37</v>
      </c>
      <c r="I27" s="13">
        <v>3</v>
      </c>
      <c r="J27" s="15">
        <v>1</v>
      </c>
      <c r="K27" s="829"/>
      <c r="L27" s="51">
        <f>RANK(E27,E6:$E$30,0)+COUNTIF($E$6:$E$27,E27)-1</f>
        <v>1</v>
      </c>
      <c r="M27" s="342">
        <f>RANK(E27,$E6:E$30,1)+COUNTIF($E$6:$E$27,E27)-1</f>
        <v>25</v>
      </c>
      <c r="O27" s="11" t="str">
        <f>INDEX(B6:J30,MATCH(22,L6:L30,0),1)</f>
        <v>lubaczowski</v>
      </c>
      <c r="P27" s="299">
        <f>INDEX(B6:J30,MATCH(22,L6:L30,0),4)</f>
        <v>0.31786395422759062</v>
      </c>
      <c r="Q27" s="11" t="str">
        <f>INDEX(B6:J30,MATCH(22,M6:M30,0),1)</f>
        <v>m. Rzeszów</v>
      </c>
      <c r="R27" s="299">
        <f>INDEX(B6:J30,MATCH(22,M6:M30,0),4)</f>
        <v>2.439485627836611</v>
      </c>
    </row>
    <row r="28" spans="2:18" x14ac:dyDescent="0.25">
      <c r="B28" s="17" t="s">
        <v>272</v>
      </c>
      <c r="C28" s="13">
        <f>SUM(T.II!E30)</f>
        <v>2415</v>
      </c>
      <c r="D28" s="14">
        <v>29</v>
      </c>
      <c r="E28" s="466">
        <f>SUM(D28/C28)*100</f>
        <v>1.2008281573498965</v>
      </c>
      <c r="F28" s="13">
        <v>18</v>
      </c>
      <c r="G28" s="26">
        <f t="shared" si="3"/>
        <v>62.068965517241381</v>
      </c>
      <c r="H28" s="13">
        <v>70</v>
      </c>
      <c r="I28" s="13">
        <v>0</v>
      </c>
      <c r="J28" s="15">
        <v>0</v>
      </c>
      <c r="K28" s="829"/>
      <c r="L28" s="51">
        <f>RANK(E28,E6:$E$30,0)+COUNTIF($E$6:$E$28,E28)-1</f>
        <v>10</v>
      </c>
      <c r="M28" s="342">
        <f>RANK(E28,$E6:E$30,1)+COUNTIF($E$6:$E$28,E28)-1</f>
        <v>16</v>
      </c>
      <c r="O28" s="11" t="str">
        <f>INDEX(B6:J30,MATCH(23,L6:L30,0),1)</f>
        <v>brzozowski</v>
      </c>
      <c r="P28" s="299">
        <f>INDEX(B6:J30,MATCH(23,L6:L30,0),4)</f>
        <v>0.28081999438360011</v>
      </c>
      <c r="Q28" s="11" t="str">
        <f>INDEX(B6:J30,MATCH(23,M6:M30,0),1)</f>
        <v>bieszczadzki</v>
      </c>
      <c r="R28" s="299">
        <f>INDEX(B6:J30,MATCH(23,M6:M30,0),4)</f>
        <v>2.6422764227642279</v>
      </c>
    </row>
    <row r="29" spans="2:18" x14ac:dyDescent="0.25">
      <c r="B29" s="17" t="s">
        <v>273</v>
      </c>
      <c r="C29" s="13">
        <f>SUM(T.II!E31)</f>
        <v>5288</v>
      </c>
      <c r="D29" s="14">
        <v>129</v>
      </c>
      <c r="E29" s="466">
        <f>SUM(D29/C29)*100</f>
        <v>2.439485627836611</v>
      </c>
      <c r="F29" s="13">
        <v>99</v>
      </c>
      <c r="G29" s="26">
        <f t="shared" si="3"/>
        <v>76.744186046511629</v>
      </c>
      <c r="H29" s="13">
        <v>101</v>
      </c>
      <c r="I29" s="13">
        <v>6</v>
      </c>
      <c r="J29" s="15">
        <v>6</v>
      </c>
      <c r="K29" s="829"/>
      <c r="L29" s="51">
        <f>RANK(E29,E6:$E$30,0)+COUNTIF($E$6:$E$29,E29)-1</f>
        <v>4</v>
      </c>
      <c r="M29" s="342">
        <f>RANK(E29,$E6:E$30,1)+COUNTIF($E$6:$E$29,E29)-1</f>
        <v>22</v>
      </c>
      <c r="O29" s="11" t="str">
        <f>INDEX(B6:J30,MATCH(24,L6:L30,0),1)</f>
        <v>przemyski</v>
      </c>
      <c r="P29" s="299">
        <f>INDEX(B6:J30,MATCH(24,L6:L30,0),4)</f>
        <v>0.17895490336435219</v>
      </c>
      <c r="Q29" s="11" t="str">
        <f>INDEX(B6:J30,MATCH(24,M6:M30,0),1)</f>
        <v>m. Tarnobrzeg</v>
      </c>
      <c r="R29" s="299">
        <f>INDEX(B6:J30,MATCH(24,M6:M30,0),4)</f>
        <v>3.1884057971014492</v>
      </c>
    </row>
    <row r="30" spans="2:18" ht="15.75" thickBot="1" x14ac:dyDescent="0.3">
      <c r="B30" s="18" t="s">
        <v>274</v>
      </c>
      <c r="C30" s="19">
        <f>SUM(T.II!E32)</f>
        <v>1035</v>
      </c>
      <c r="D30" s="20">
        <v>33</v>
      </c>
      <c r="E30" s="467">
        <f>SUM(D30/C30)*100</f>
        <v>3.1884057971014492</v>
      </c>
      <c r="F30" s="19">
        <v>30</v>
      </c>
      <c r="G30" s="27">
        <f t="shared" si="3"/>
        <v>90.909090909090907</v>
      </c>
      <c r="H30" s="19">
        <v>199</v>
      </c>
      <c r="I30" s="19">
        <v>0</v>
      </c>
      <c r="J30" s="21">
        <v>0</v>
      </c>
      <c r="K30" s="829"/>
      <c r="L30" s="3">
        <f>RANK(E30,E6:$E$30,0)+COUNTIF($E$6:$E$30,E30)-1</f>
        <v>2</v>
      </c>
      <c r="M30" s="473">
        <f>RANK(E30,$E6:E$30,1)+COUNTIF($E$6:$E$30,E30)-1</f>
        <v>24</v>
      </c>
      <c r="O30" s="11" t="str">
        <f>INDEX(B6:J30,MATCH(25,L6:L30,0),1)</f>
        <v>strzyżowski</v>
      </c>
      <c r="P30" s="299">
        <f>INDEX(B6:J30,MATCH(25,L6:L30,0),4)</f>
        <v>0.16556291390728478</v>
      </c>
      <c r="Q30" s="11" t="str">
        <f>INDEX(B6:J30,MATCH(25,M6:M30,0),1)</f>
        <v>m. Krosno</v>
      </c>
      <c r="R30" s="299">
        <f>INDEX(B6:J30,MATCH(25,M6:M30,0),4)</f>
        <v>4</v>
      </c>
    </row>
    <row r="31" spans="2:18" x14ac:dyDescent="0.25">
      <c r="B31" s="830" t="s">
        <v>576</v>
      </c>
    </row>
    <row r="32" spans="2:18" x14ac:dyDescent="0.25">
      <c r="B32" s="830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B1:O22"/>
  <sheetViews>
    <sheetView zoomScaleNormal="100" workbookViewId="0">
      <selection activeCell="B1" sqref="B1"/>
    </sheetView>
  </sheetViews>
  <sheetFormatPr defaultColWidth="9.140625" defaultRowHeight="15" x14ac:dyDescent="0.25"/>
  <cols>
    <col min="1" max="1" width="2.28515625" style="11" customWidth="1"/>
    <col min="2" max="2" width="35.28515625" style="11" customWidth="1"/>
    <col min="3" max="3" width="10.28515625" style="11" customWidth="1"/>
    <col min="4" max="4" width="9.42578125" style="11" customWidth="1"/>
    <col min="5" max="5" width="9.85546875" style="11" customWidth="1"/>
    <col min="6" max="6" width="9.7109375" style="11" customWidth="1"/>
    <col min="7" max="7" width="10" style="11" customWidth="1"/>
    <col min="8" max="8" width="9.140625" style="11" customWidth="1"/>
    <col min="9" max="9" width="10" style="11" customWidth="1"/>
    <col min="10" max="10" width="8.5703125" style="11" customWidth="1"/>
    <col min="11" max="11" width="14" style="11" customWidth="1"/>
    <col min="12" max="12" width="2.5703125" style="11" customWidth="1"/>
    <col min="13" max="14" width="9" style="11" customWidth="1"/>
    <col min="15" max="15" width="8.5703125" style="11" customWidth="1"/>
    <col min="16" max="16384" width="9.140625" style="11"/>
  </cols>
  <sheetData>
    <row r="1" spans="2:15" ht="12" customHeight="1" x14ac:dyDescent="0.25"/>
    <row r="2" spans="2:15" x14ac:dyDescent="0.25">
      <c r="B2" s="11" t="s">
        <v>257</v>
      </c>
    </row>
    <row r="3" spans="2:15" ht="14.25" customHeight="1" x14ac:dyDescent="0.25">
      <c r="B3" s="28" t="s">
        <v>323</v>
      </c>
    </row>
    <row r="4" spans="2:15" ht="13.5" customHeight="1" thickBot="1" x14ac:dyDescent="0.3">
      <c r="B4" s="28"/>
    </row>
    <row r="5" spans="2:15" ht="34.5" customHeight="1" x14ac:dyDescent="0.25">
      <c r="B5" s="901" t="s">
        <v>103</v>
      </c>
      <c r="C5" s="903" t="s">
        <v>418</v>
      </c>
      <c r="D5" s="904"/>
      <c r="E5" s="903" t="s">
        <v>487</v>
      </c>
      <c r="F5" s="904"/>
      <c r="G5" s="903" t="s">
        <v>488</v>
      </c>
      <c r="H5" s="904"/>
      <c r="I5" s="905" t="s">
        <v>489</v>
      </c>
      <c r="J5" s="906"/>
      <c r="K5" s="579" t="s">
        <v>567</v>
      </c>
      <c r="L5" s="401"/>
      <c r="M5" s="401"/>
    </row>
    <row r="6" spans="2:15" ht="22.5" customHeight="1" thickBot="1" x14ac:dyDescent="0.3">
      <c r="B6" s="902"/>
      <c r="C6" s="580" t="s">
        <v>4</v>
      </c>
      <c r="D6" s="581" t="s">
        <v>414</v>
      </c>
      <c r="E6" s="580" t="s">
        <v>4</v>
      </c>
      <c r="F6" s="581" t="s">
        <v>414</v>
      </c>
      <c r="G6" s="580" t="s">
        <v>4</v>
      </c>
      <c r="H6" s="581" t="s">
        <v>414</v>
      </c>
      <c r="I6" s="582" t="s">
        <v>4</v>
      </c>
      <c r="J6" s="581" t="s">
        <v>414</v>
      </c>
      <c r="K6" s="583" t="s">
        <v>4</v>
      </c>
      <c r="L6" s="361"/>
      <c r="M6" s="361"/>
    </row>
    <row r="7" spans="2:15" ht="42" customHeight="1" thickBot="1" x14ac:dyDescent="0.3">
      <c r="B7" s="320" t="s">
        <v>114</v>
      </c>
      <c r="C7" s="44">
        <v>43477</v>
      </c>
      <c r="D7" s="45">
        <v>100</v>
      </c>
      <c r="E7" s="44">
        <v>49860</v>
      </c>
      <c r="F7" s="45">
        <v>100</v>
      </c>
      <c r="G7" s="44">
        <v>93337</v>
      </c>
      <c r="H7" s="45">
        <v>100</v>
      </c>
      <c r="I7" s="169">
        <v>44811</v>
      </c>
      <c r="J7" s="328">
        <v>100</v>
      </c>
      <c r="K7" s="208">
        <f>SUM(I7)-C7</f>
        <v>1334</v>
      </c>
      <c r="L7" s="398"/>
      <c r="M7" s="398">
        <f>SUM(C7)+E7</f>
        <v>93337</v>
      </c>
    </row>
    <row r="8" spans="2:15" ht="30.75" customHeight="1" thickBot="1" x14ac:dyDescent="0.3">
      <c r="B8" s="334" t="s">
        <v>115</v>
      </c>
      <c r="C8" s="335"/>
      <c r="D8" s="335"/>
      <c r="E8" s="335"/>
      <c r="F8" s="335"/>
      <c r="G8" s="335"/>
      <c r="H8" s="335"/>
      <c r="I8" s="335"/>
      <c r="J8" s="335"/>
      <c r="K8" s="336"/>
      <c r="L8" s="399"/>
      <c r="M8" s="399"/>
    </row>
    <row r="9" spans="2:15" ht="24" customHeight="1" x14ac:dyDescent="0.25">
      <c r="B9" s="321" t="s">
        <v>73</v>
      </c>
      <c r="C9" s="37">
        <v>8622</v>
      </c>
      <c r="D9" s="38">
        <f>SUM(C9)/C7*100</f>
        <v>19.831175104078021</v>
      </c>
      <c r="E9" s="37">
        <v>11064</v>
      </c>
      <c r="F9" s="38">
        <f>SUM(E9)/E7*100</f>
        <v>22.190132370637787</v>
      </c>
      <c r="G9" s="37">
        <v>19686</v>
      </c>
      <c r="H9" s="38">
        <f>SUM(G9)/G7*100</f>
        <v>21.091314269796545</v>
      </c>
      <c r="I9" s="113">
        <v>7949</v>
      </c>
      <c r="J9" s="329">
        <f>SUM(I9)/I7*100</f>
        <v>17.73894802615429</v>
      </c>
      <c r="K9" s="39">
        <f>SUM(I9)-C9</f>
        <v>-673</v>
      </c>
      <c r="L9" s="362"/>
      <c r="M9" s="362">
        <f t="shared" ref="M9:M17" si="0">SUM(C9)+E9</f>
        <v>19686</v>
      </c>
      <c r="N9" s="299">
        <f>SUM(K9/C9*100)</f>
        <v>-7.8056135467408954</v>
      </c>
      <c r="O9" s="366">
        <f>SUM(G9:G10)</f>
        <v>93337</v>
      </c>
    </row>
    <row r="10" spans="2:15" ht="24" customHeight="1" thickBot="1" x14ac:dyDescent="0.3">
      <c r="B10" s="322" t="s">
        <v>74</v>
      </c>
      <c r="C10" s="19">
        <v>34855</v>
      </c>
      <c r="D10" s="27">
        <f>SUM(C10)/C7*100</f>
        <v>80.168824895921986</v>
      </c>
      <c r="E10" s="19">
        <v>38796</v>
      </c>
      <c r="F10" s="27">
        <f>SUM(E10)/E7*100</f>
        <v>77.809867629362216</v>
      </c>
      <c r="G10" s="19">
        <v>73651</v>
      </c>
      <c r="H10" s="27">
        <f>SUM(G10)/G7*100</f>
        <v>78.908685730203459</v>
      </c>
      <c r="I10" s="89">
        <v>36862</v>
      </c>
      <c r="J10" s="330">
        <f>SUM(I10)/I7*100</f>
        <v>82.26105197384571</v>
      </c>
      <c r="K10" s="36">
        <f>SUM(I10)-C10</f>
        <v>2007</v>
      </c>
      <c r="L10" s="362"/>
      <c r="M10" s="362">
        <f t="shared" si="0"/>
        <v>73651</v>
      </c>
      <c r="N10" s="299">
        <f>SUM(K10/C10*100)</f>
        <v>5.7581408693157368</v>
      </c>
      <c r="O10" s="366">
        <f>SUM(K9:K10)</f>
        <v>1334</v>
      </c>
    </row>
    <row r="11" spans="2:15" ht="21.75" customHeight="1" thickBot="1" x14ac:dyDescent="0.3">
      <c r="B11" s="367" t="s">
        <v>116</v>
      </c>
      <c r="C11" s="368"/>
      <c r="D11" s="368"/>
      <c r="E11" s="368"/>
      <c r="F11" s="368"/>
      <c r="G11" s="368"/>
      <c r="H11" s="368"/>
      <c r="I11" s="368"/>
      <c r="J11" s="368"/>
      <c r="K11" s="369"/>
      <c r="L11" s="400"/>
      <c r="M11" s="400"/>
      <c r="N11" s="144"/>
      <c r="O11" s="144"/>
    </row>
    <row r="12" spans="2:15" ht="28.5" customHeight="1" x14ac:dyDescent="0.25">
      <c r="B12" s="323" t="s">
        <v>75</v>
      </c>
      <c r="C12" s="40">
        <v>54</v>
      </c>
      <c r="D12" s="41">
        <f>SUM(C12)/C7*100</f>
        <v>0.12420360190445523</v>
      </c>
      <c r="E12" s="40">
        <v>76</v>
      </c>
      <c r="F12" s="41">
        <f>SUM(E12)/E7*100</f>
        <v>0.15242679502607301</v>
      </c>
      <c r="G12" s="40">
        <v>130</v>
      </c>
      <c r="H12" s="41">
        <f>SUM(G12)/G7*100</f>
        <v>0.13928024256189936</v>
      </c>
      <c r="I12" s="327">
        <v>47</v>
      </c>
      <c r="J12" s="331">
        <f>SUM(I12)/I7*100</f>
        <v>0.10488496128182813</v>
      </c>
      <c r="K12" s="42">
        <f t="shared" ref="K12:K17" si="1">SUM(I12)-C12</f>
        <v>-7</v>
      </c>
      <c r="L12" s="362"/>
      <c r="M12" s="362">
        <f t="shared" si="0"/>
        <v>130</v>
      </c>
      <c r="N12" s="366">
        <f>SUM(I12:I17)</f>
        <v>3741</v>
      </c>
      <c r="O12" s="366">
        <f>SUM(C12:C17)</f>
        <v>4099</v>
      </c>
    </row>
    <row r="13" spans="2:15" ht="26.25" customHeight="1" x14ac:dyDescent="0.25">
      <c r="B13" s="324" t="s">
        <v>76</v>
      </c>
      <c r="C13" s="13">
        <v>207</v>
      </c>
      <c r="D13" s="26">
        <f>SUM(C13)/C7*100</f>
        <v>0.47611380730041175</v>
      </c>
      <c r="E13" s="13">
        <v>319</v>
      </c>
      <c r="F13" s="26">
        <f>SUM(E13)/E7*100</f>
        <v>0.63979141596470124</v>
      </c>
      <c r="G13" s="13">
        <v>526</v>
      </c>
      <c r="H13" s="26">
        <f>SUM(G13)/G7*100</f>
        <v>0.56354928913506974</v>
      </c>
      <c r="I13" s="88">
        <v>237</v>
      </c>
      <c r="J13" s="332">
        <f>SUM(I13)/I7*100</f>
        <v>0.52888799625092053</v>
      </c>
      <c r="K13" s="33">
        <f t="shared" si="1"/>
        <v>30</v>
      </c>
      <c r="L13" s="362"/>
      <c r="M13" s="362">
        <f t="shared" si="0"/>
        <v>526</v>
      </c>
      <c r="N13" s="299">
        <f>SUM(N12/I7)*100</f>
        <v>8.3483965990493409</v>
      </c>
      <c r="O13" s="299">
        <f>SUM(O12/C7)*100</f>
        <v>9.4279734112289244</v>
      </c>
    </row>
    <row r="14" spans="2:15" ht="27.75" customHeight="1" x14ac:dyDescent="0.25">
      <c r="B14" s="325" t="s">
        <v>77</v>
      </c>
      <c r="C14" s="31">
        <v>3020</v>
      </c>
      <c r="D14" s="32">
        <f>SUM(C14)/C7*100</f>
        <v>6.9462014398417553</v>
      </c>
      <c r="E14" s="31">
        <v>4537</v>
      </c>
      <c r="F14" s="32">
        <f>SUM(E14)/E7*100</f>
        <v>9.0994785399117522</v>
      </c>
      <c r="G14" s="31">
        <v>7557</v>
      </c>
      <c r="H14" s="32">
        <f>SUM(G14)/G7*100</f>
        <v>8.0964676387713332</v>
      </c>
      <c r="I14" s="104">
        <v>2693</v>
      </c>
      <c r="J14" s="333">
        <f>SUM(I14)/I7*100</f>
        <v>6.0096851219566618</v>
      </c>
      <c r="K14" s="35">
        <f t="shared" si="1"/>
        <v>-327</v>
      </c>
      <c r="L14" s="362"/>
      <c r="M14" s="362">
        <f t="shared" si="0"/>
        <v>7557</v>
      </c>
      <c r="N14" s="373">
        <f>SUM(J12:J17)</f>
        <v>8.3483965990493392</v>
      </c>
      <c r="O14" s="373">
        <f>SUM(D12:D17)</f>
        <v>9.4279734112289244</v>
      </c>
    </row>
    <row r="15" spans="2:15" ht="30" x14ac:dyDescent="0.25">
      <c r="B15" s="324" t="s">
        <v>86</v>
      </c>
      <c r="C15" s="13">
        <v>0</v>
      </c>
      <c r="D15" s="353">
        <f>SUM(C15)/C7*100</f>
        <v>0</v>
      </c>
      <c r="E15" s="13">
        <v>0</v>
      </c>
      <c r="F15" s="353">
        <f>SUM(E15)/E7*100</f>
        <v>0</v>
      </c>
      <c r="G15" s="13">
        <v>0</v>
      </c>
      <c r="H15" s="353">
        <f>SUM(G15)/G7*100</f>
        <v>0</v>
      </c>
      <c r="I15" s="88">
        <v>0</v>
      </c>
      <c r="J15" s="332">
        <f>SUM(I15)/I7*100</f>
        <v>0</v>
      </c>
      <c r="K15" s="33">
        <f t="shared" si="1"/>
        <v>0</v>
      </c>
      <c r="L15" s="362"/>
      <c r="M15" s="362">
        <f t="shared" si="0"/>
        <v>0</v>
      </c>
    </row>
    <row r="16" spans="2:15" ht="31.5" customHeight="1" x14ac:dyDescent="0.25">
      <c r="B16" s="324" t="s">
        <v>78</v>
      </c>
      <c r="C16" s="13">
        <v>701</v>
      </c>
      <c r="D16" s="26">
        <f>SUM(C16)/C7*100</f>
        <v>1.6123467580559836</v>
      </c>
      <c r="E16" s="13">
        <v>860</v>
      </c>
      <c r="F16" s="26">
        <f>SUM(E16)/E7*100</f>
        <v>1.7248295226634576</v>
      </c>
      <c r="G16" s="13">
        <v>1561</v>
      </c>
      <c r="H16" s="26">
        <f>SUM(G16)/G7*100</f>
        <v>1.6724342972240374</v>
      </c>
      <c r="I16" s="88">
        <v>654</v>
      </c>
      <c r="J16" s="332">
        <f>SUM(I16)/I7*100</f>
        <v>1.4594630782620339</v>
      </c>
      <c r="K16" s="33">
        <f t="shared" si="1"/>
        <v>-47</v>
      </c>
      <c r="L16" s="362"/>
      <c r="M16" s="362">
        <f t="shared" si="0"/>
        <v>1561</v>
      </c>
    </row>
    <row r="17" spans="2:13" ht="30.75" thickBot="1" x14ac:dyDescent="0.3">
      <c r="B17" s="326" t="s">
        <v>117</v>
      </c>
      <c r="C17" s="19">
        <v>117</v>
      </c>
      <c r="D17" s="27">
        <f>SUM(C17)/C7*100</f>
        <v>0.26910780412631968</v>
      </c>
      <c r="E17" s="19">
        <v>369</v>
      </c>
      <c r="F17" s="27">
        <f>SUM(E17)/E7*100</f>
        <v>0.74007220216606495</v>
      </c>
      <c r="G17" s="19">
        <v>486</v>
      </c>
      <c r="H17" s="27">
        <f>SUM(G17)/G7*100</f>
        <v>0.52069382988525459</v>
      </c>
      <c r="I17" s="89">
        <v>110</v>
      </c>
      <c r="J17" s="330">
        <f>SUM(I17)/I7*100</f>
        <v>0.24547544129789561</v>
      </c>
      <c r="K17" s="36">
        <f t="shared" si="1"/>
        <v>-7</v>
      </c>
      <c r="L17" s="362"/>
      <c r="M17" s="362">
        <f t="shared" si="0"/>
        <v>486</v>
      </c>
    </row>
    <row r="19" spans="2:13" x14ac:dyDescent="0.25">
      <c r="C19" s="366">
        <f>SUM(C9:C10)</f>
        <v>43477</v>
      </c>
      <c r="E19" s="366">
        <f>SUM(E9:E10)</f>
        <v>49860</v>
      </c>
    </row>
    <row r="20" spans="2:13" x14ac:dyDescent="0.25">
      <c r="C20" s="366">
        <f>SUM(C12:C17)</f>
        <v>4099</v>
      </c>
      <c r="D20" s="373">
        <f>SUM(D12:D17)</f>
        <v>9.4279734112289244</v>
      </c>
      <c r="E20" s="49"/>
      <c r="F20" s="297"/>
      <c r="G20" s="366">
        <f>SUM(G12:G17)</f>
        <v>10260</v>
      </c>
      <c r="H20" s="373">
        <f>SUM(H12:H17)</f>
        <v>10.992425297577595</v>
      </c>
      <c r="I20" s="297"/>
      <c r="J20" s="297"/>
    </row>
    <row r="21" spans="2:13" x14ac:dyDescent="0.25">
      <c r="D21" s="49"/>
    </row>
    <row r="22" spans="2:13" x14ac:dyDescent="0.25">
      <c r="E22" s="49"/>
      <c r="F22" s="297"/>
      <c r="G22" s="297"/>
      <c r="H22" s="297"/>
      <c r="I22" s="297"/>
      <c r="J22" s="297"/>
    </row>
  </sheetData>
  <mergeCells count="5">
    <mergeCell ref="B5:B6"/>
    <mergeCell ref="E5:F5"/>
    <mergeCell ref="C5:D5"/>
    <mergeCell ref="I5:J5"/>
    <mergeCell ref="G5:H5"/>
  </mergeCells>
  <printOptions horizontalCentered="1"/>
  <pageMargins left="0" right="0" top="1.3779527559055118" bottom="0" header="0.31496062992125984" footer="0.31496062992125984"/>
  <pageSetup paperSize="9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</sheetPr>
  <dimension ref="B1:J35"/>
  <sheetViews>
    <sheetView zoomScale="90" zoomScaleNormal="90" workbookViewId="0">
      <selection activeCell="B1" sqref="B1"/>
    </sheetView>
  </sheetViews>
  <sheetFormatPr defaultColWidth="9.140625" defaultRowHeight="15" x14ac:dyDescent="0.25"/>
  <cols>
    <col min="1" max="1" width="2.28515625" style="2" customWidth="1"/>
    <col min="2" max="2" width="22.28515625" style="2" customWidth="1"/>
    <col min="3" max="3" width="11.5703125" style="2" customWidth="1"/>
    <col min="4" max="4" width="11.85546875" style="2" customWidth="1"/>
    <col min="5" max="5" width="12.42578125" style="2" customWidth="1"/>
    <col min="6" max="6" width="12" style="2" customWidth="1"/>
    <col min="7" max="7" width="10.85546875" style="2" customWidth="1"/>
    <col min="8" max="8" width="11.42578125" style="2" customWidth="1"/>
    <col min="9" max="9" width="2.42578125" style="2" customWidth="1"/>
    <col min="10" max="10" width="7.85546875" style="2" customWidth="1"/>
    <col min="11" max="11" width="10.28515625" style="2" customWidth="1"/>
    <col min="12" max="16384" width="9.140625" style="2"/>
  </cols>
  <sheetData>
    <row r="1" spans="2:10" ht="11.25" customHeight="1" x14ac:dyDescent="0.25"/>
    <row r="2" spans="2:10" x14ac:dyDescent="0.25">
      <c r="B2" s="11" t="s">
        <v>256</v>
      </c>
      <c r="C2" s="11"/>
      <c r="D2" s="11"/>
      <c r="E2" s="11"/>
      <c r="F2" s="11"/>
      <c r="G2" s="11"/>
      <c r="H2" s="11"/>
    </row>
    <row r="3" spans="2:10" x14ac:dyDescent="0.25">
      <c r="B3" s="11" t="s">
        <v>324</v>
      </c>
      <c r="C3" s="11"/>
      <c r="D3" s="11"/>
      <c r="E3" s="11"/>
      <c r="F3" s="11"/>
      <c r="G3" s="11"/>
      <c r="H3" s="11"/>
    </row>
    <row r="4" spans="2:10" ht="6" customHeight="1" thickBot="1" x14ac:dyDescent="0.3">
      <c r="B4" s="11"/>
      <c r="C4" s="11"/>
      <c r="D4" s="11"/>
      <c r="E4" s="11"/>
      <c r="F4" s="11"/>
      <c r="G4" s="11"/>
      <c r="H4" s="11"/>
    </row>
    <row r="5" spans="2:10" ht="15.75" thickBot="1" x14ac:dyDescent="0.3">
      <c r="B5" s="899" t="s">
        <v>108</v>
      </c>
      <c r="C5" s="896" t="s">
        <v>118</v>
      </c>
      <c r="D5" s="897"/>
      <c r="E5" s="897"/>
      <c r="F5" s="897"/>
      <c r="G5" s="897"/>
      <c r="H5" s="898"/>
    </row>
    <row r="6" spans="2:10" ht="31.5" customHeight="1" x14ac:dyDescent="0.25">
      <c r="B6" s="907"/>
      <c r="C6" s="911" t="s">
        <v>419</v>
      </c>
      <c r="D6" s="908" t="s">
        <v>496</v>
      </c>
      <c r="E6" s="918" t="s">
        <v>488</v>
      </c>
      <c r="F6" s="899" t="s">
        <v>497</v>
      </c>
      <c r="G6" s="914" t="s">
        <v>564</v>
      </c>
      <c r="H6" s="915"/>
    </row>
    <row r="7" spans="2:10" ht="35.25" customHeight="1" x14ac:dyDescent="0.25">
      <c r="B7" s="907"/>
      <c r="C7" s="912"/>
      <c r="D7" s="909"/>
      <c r="E7" s="919"/>
      <c r="F7" s="907"/>
      <c r="G7" s="892" t="s">
        <v>105</v>
      </c>
      <c r="H7" s="916" t="s">
        <v>414</v>
      </c>
    </row>
    <row r="8" spans="2:10" ht="10.5" customHeight="1" thickBot="1" x14ac:dyDescent="0.3">
      <c r="B8" s="900"/>
      <c r="C8" s="913"/>
      <c r="D8" s="910"/>
      <c r="E8" s="920"/>
      <c r="F8" s="900"/>
      <c r="G8" s="893"/>
      <c r="H8" s="917"/>
    </row>
    <row r="9" spans="2:10" ht="21" customHeight="1" thickBot="1" x14ac:dyDescent="0.3">
      <c r="B9" s="166" t="s">
        <v>14</v>
      </c>
      <c r="C9" s="79">
        <f>SUM(C10:C34)</f>
        <v>43477</v>
      </c>
      <c r="D9" s="266">
        <f>SUM(D10:D34)</f>
        <v>49860</v>
      </c>
      <c r="E9" s="429">
        <f>SUM(C9:D9)</f>
        <v>93337</v>
      </c>
      <c r="F9" s="430">
        <f>SUM(F10:F34)</f>
        <v>44811</v>
      </c>
      <c r="G9" s="431">
        <f>SUM(F9)-C9</f>
        <v>1334</v>
      </c>
      <c r="H9" s="267">
        <f t="shared" ref="H9:H34" si="0">SUM(G9)/C9*100</f>
        <v>3.068288980380431</v>
      </c>
      <c r="J9" s="834">
        <f>SUM(J10:J34)</f>
        <v>93337</v>
      </c>
    </row>
    <row r="10" spans="2:10" ht="18" customHeight="1" x14ac:dyDescent="0.25">
      <c r="B10" s="176" t="s">
        <v>15</v>
      </c>
      <c r="C10" s="180">
        <v>616</v>
      </c>
      <c r="D10" s="181">
        <v>775</v>
      </c>
      <c r="E10" s="426">
        <f>SUM(C10:D10)</f>
        <v>1391</v>
      </c>
      <c r="F10" s="427">
        <v>684</v>
      </c>
      <c r="G10" s="428">
        <f t="shared" ref="G10:G34" si="1">SUM(F10)-C10</f>
        <v>68</v>
      </c>
      <c r="H10" s="55">
        <f t="shared" si="0"/>
        <v>11.038961038961039</v>
      </c>
      <c r="J10" s="834">
        <v>1391</v>
      </c>
    </row>
    <row r="11" spans="2:10" ht="15.75" customHeight="1" x14ac:dyDescent="0.25">
      <c r="B11" s="177" t="s">
        <v>16</v>
      </c>
      <c r="C11" s="51">
        <v>1678</v>
      </c>
      <c r="D11" s="9">
        <v>2137</v>
      </c>
      <c r="E11" s="337">
        <f t="shared" ref="E11:E34" si="2">SUM(C11:D11)</f>
        <v>3815</v>
      </c>
      <c r="F11" s="342">
        <v>1748</v>
      </c>
      <c r="G11" s="6">
        <f t="shared" si="1"/>
        <v>70</v>
      </c>
      <c r="H11" s="7">
        <f t="shared" si="0"/>
        <v>4.171632896305125</v>
      </c>
      <c r="J11" s="834">
        <v>3815</v>
      </c>
    </row>
    <row r="12" spans="2:10" x14ac:dyDescent="0.25">
      <c r="B12" s="177" t="s">
        <v>17</v>
      </c>
      <c r="C12" s="51">
        <v>2127</v>
      </c>
      <c r="D12" s="9">
        <v>2386</v>
      </c>
      <c r="E12" s="337">
        <f t="shared" si="2"/>
        <v>4513</v>
      </c>
      <c r="F12" s="342">
        <v>2203</v>
      </c>
      <c r="G12" s="6">
        <f t="shared" si="1"/>
        <v>76</v>
      </c>
      <c r="H12" s="7">
        <f t="shared" si="0"/>
        <v>3.5731076633756462</v>
      </c>
      <c r="J12" s="834">
        <v>4513</v>
      </c>
    </row>
    <row r="13" spans="2:10" x14ac:dyDescent="0.25">
      <c r="B13" s="177" t="s">
        <v>18</v>
      </c>
      <c r="C13" s="51">
        <v>2889</v>
      </c>
      <c r="D13" s="9">
        <v>3326</v>
      </c>
      <c r="E13" s="337">
        <f t="shared" si="2"/>
        <v>6215</v>
      </c>
      <c r="F13" s="342">
        <v>2884</v>
      </c>
      <c r="G13" s="6">
        <f t="shared" si="1"/>
        <v>-5</v>
      </c>
      <c r="H13" s="7">
        <f t="shared" si="0"/>
        <v>-0.17307026652821045</v>
      </c>
      <c r="J13" s="834">
        <v>6215</v>
      </c>
    </row>
    <row r="14" spans="2:10" x14ac:dyDescent="0.25">
      <c r="B14" s="177" t="s">
        <v>19</v>
      </c>
      <c r="C14" s="51">
        <v>2669</v>
      </c>
      <c r="D14" s="9">
        <v>3203</v>
      </c>
      <c r="E14" s="337">
        <f t="shared" si="2"/>
        <v>5872</v>
      </c>
      <c r="F14" s="342">
        <v>2903</v>
      </c>
      <c r="G14" s="6">
        <f t="shared" si="1"/>
        <v>234</v>
      </c>
      <c r="H14" s="7">
        <f t="shared" si="0"/>
        <v>8.7673285874859488</v>
      </c>
      <c r="J14" s="834">
        <v>5872</v>
      </c>
    </row>
    <row r="15" spans="2:10" x14ac:dyDescent="0.25">
      <c r="B15" s="177" t="s">
        <v>20</v>
      </c>
      <c r="C15" s="51">
        <v>1210</v>
      </c>
      <c r="D15" s="9">
        <v>1351</v>
      </c>
      <c r="E15" s="337">
        <f t="shared" si="2"/>
        <v>2561</v>
      </c>
      <c r="F15" s="342">
        <v>1197</v>
      </c>
      <c r="G15" s="6">
        <f t="shared" si="1"/>
        <v>-13</v>
      </c>
      <c r="H15" s="7">
        <f t="shared" si="0"/>
        <v>-1.0743801652892562</v>
      </c>
      <c r="J15" s="834">
        <v>2561</v>
      </c>
    </row>
    <row r="16" spans="2:10" x14ac:dyDescent="0.25">
      <c r="B16" s="177" t="s">
        <v>21</v>
      </c>
      <c r="C16" s="51">
        <v>1539</v>
      </c>
      <c r="D16" s="9">
        <v>1774</v>
      </c>
      <c r="E16" s="337">
        <f t="shared" si="2"/>
        <v>3313</v>
      </c>
      <c r="F16" s="342">
        <v>1803</v>
      </c>
      <c r="G16" s="6">
        <f t="shared" si="1"/>
        <v>264</v>
      </c>
      <c r="H16" s="7">
        <f t="shared" si="0"/>
        <v>17.15399610136452</v>
      </c>
      <c r="J16" s="834">
        <v>3313</v>
      </c>
    </row>
    <row r="17" spans="2:10" x14ac:dyDescent="0.25">
      <c r="B17" s="177" t="s">
        <v>22</v>
      </c>
      <c r="C17" s="51">
        <v>785</v>
      </c>
      <c r="D17" s="9">
        <v>959</v>
      </c>
      <c r="E17" s="337">
        <f t="shared" si="2"/>
        <v>1744</v>
      </c>
      <c r="F17" s="342">
        <v>758</v>
      </c>
      <c r="G17" s="6">
        <f t="shared" si="1"/>
        <v>-27</v>
      </c>
      <c r="H17" s="7">
        <f t="shared" si="0"/>
        <v>-3.4394904458598727</v>
      </c>
      <c r="J17" s="834">
        <v>1744</v>
      </c>
    </row>
    <row r="18" spans="2:10" x14ac:dyDescent="0.25">
      <c r="B18" s="177" t="s">
        <v>23</v>
      </c>
      <c r="C18" s="51">
        <v>1923</v>
      </c>
      <c r="D18" s="9">
        <v>2282</v>
      </c>
      <c r="E18" s="337">
        <f t="shared" si="2"/>
        <v>4205</v>
      </c>
      <c r="F18" s="342">
        <v>2082</v>
      </c>
      <c r="G18" s="6">
        <f t="shared" si="1"/>
        <v>159</v>
      </c>
      <c r="H18" s="7">
        <f t="shared" si="0"/>
        <v>8.2683307332293285</v>
      </c>
      <c r="J18" s="834">
        <v>4205</v>
      </c>
    </row>
    <row r="19" spans="2:10" x14ac:dyDescent="0.25">
      <c r="B19" s="177" t="s">
        <v>24</v>
      </c>
      <c r="C19" s="51">
        <v>1160</v>
      </c>
      <c r="D19" s="9">
        <v>1504</v>
      </c>
      <c r="E19" s="337">
        <f t="shared" si="2"/>
        <v>2664</v>
      </c>
      <c r="F19" s="342">
        <v>1189</v>
      </c>
      <c r="G19" s="6">
        <f t="shared" si="1"/>
        <v>29</v>
      </c>
      <c r="H19" s="7">
        <f t="shared" si="0"/>
        <v>2.5</v>
      </c>
      <c r="J19" s="834">
        <v>2664</v>
      </c>
    </row>
    <row r="20" spans="2:10" x14ac:dyDescent="0.25">
      <c r="B20" s="177" t="s">
        <v>25</v>
      </c>
      <c r="C20" s="51">
        <v>1916</v>
      </c>
      <c r="D20" s="9">
        <v>2182</v>
      </c>
      <c r="E20" s="337">
        <f t="shared" si="2"/>
        <v>4098</v>
      </c>
      <c r="F20" s="342">
        <v>1984</v>
      </c>
      <c r="G20" s="6">
        <f t="shared" si="1"/>
        <v>68</v>
      </c>
      <c r="H20" s="7">
        <f t="shared" si="0"/>
        <v>3.5490605427974948</v>
      </c>
      <c r="J20" s="834">
        <v>4098</v>
      </c>
    </row>
    <row r="21" spans="2:10" x14ac:dyDescent="0.25">
      <c r="B21" s="177" t="s">
        <v>26</v>
      </c>
      <c r="C21" s="51">
        <v>2698</v>
      </c>
      <c r="D21" s="9">
        <v>3007</v>
      </c>
      <c r="E21" s="337">
        <f t="shared" si="2"/>
        <v>5705</v>
      </c>
      <c r="F21" s="342">
        <v>2716</v>
      </c>
      <c r="G21" s="6">
        <f t="shared" si="1"/>
        <v>18</v>
      </c>
      <c r="H21" s="7">
        <f t="shared" si="0"/>
        <v>0.66716085989621943</v>
      </c>
      <c r="J21" s="834">
        <v>5705</v>
      </c>
    </row>
    <row r="22" spans="2:10" x14ac:dyDescent="0.25">
      <c r="B22" s="177" t="s">
        <v>27</v>
      </c>
      <c r="C22" s="51">
        <v>1847</v>
      </c>
      <c r="D22" s="9">
        <v>1981</v>
      </c>
      <c r="E22" s="337">
        <f t="shared" si="2"/>
        <v>3828</v>
      </c>
      <c r="F22" s="342">
        <v>1820</v>
      </c>
      <c r="G22" s="6">
        <f t="shared" si="1"/>
        <v>-27</v>
      </c>
      <c r="H22" s="7">
        <f t="shared" si="0"/>
        <v>-1.4618299945858149</v>
      </c>
      <c r="J22" s="834">
        <v>3828</v>
      </c>
    </row>
    <row r="23" spans="2:10" x14ac:dyDescent="0.25">
      <c r="B23" s="178" t="s">
        <v>28</v>
      </c>
      <c r="C23" s="52">
        <v>1510</v>
      </c>
      <c r="D23" s="338">
        <v>1838</v>
      </c>
      <c r="E23" s="339">
        <f t="shared" si="2"/>
        <v>3348</v>
      </c>
      <c r="F23" s="343">
        <v>1539</v>
      </c>
      <c r="G23" s="6">
        <f t="shared" si="1"/>
        <v>29</v>
      </c>
      <c r="H23" s="7">
        <f t="shared" si="0"/>
        <v>1.9205298013245033</v>
      </c>
      <c r="J23" s="834">
        <v>3348</v>
      </c>
    </row>
    <row r="24" spans="2:10" x14ac:dyDescent="0.25">
      <c r="B24" s="178" t="s">
        <v>29</v>
      </c>
      <c r="C24" s="52">
        <v>2206</v>
      </c>
      <c r="D24" s="338">
        <v>2517</v>
      </c>
      <c r="E24" s="339">
        <f t="shared" si="2"/>
        <v>4723</v>
      </c>
      <c r="F24" s="343">
        <v>2221</v>
      </c>
      <c r="G24" s="6">
        <f t="shared" si="1"/>
        <v>15</v>
      </c>
      <c r="H24" s="7">
        <f t="shared" si="0"/>
        <v>0.67996373526745235</v>
      </c>
      <c r="J24" s="834">
        <v>4723</v>
      </c>
    </row>
    <row r="25" spans="2:10" x14ac:dyDescent="0.25">
      <c r="B25" s="178" t="s">
        <v>30</v>
      </c>
      <c r="C25" s="52">
        <v>1788</v>
      </c>
      <c r="D25" s="338">
        <v>2060</v>
      </c>
      <c r="E25" s="339">
        <f t="shared" si="2"/>
        <v>3848</v>
      </c>
      <c r="F25" s="343">
        <v>1863</v>
      </c>
      <c r="G25" s="6">
        <f t="shared" si="1"/>
        <v>75</v>
      </c>
      <c r="H25" s="7">
        <f t="shared" si="0"/>
        <v>4.1946308724832218</v>
      </c>
      <c r="J25" s="834">
        <v>3848</v>
      </c>
    </row>
    <row r="26" spans="2:10" x14ac:dyDescent="0.25">
      <c r="B26" s="178" t="s">
        <v>31</v>
      </c>
      <c r="C26" s="52">
        <v>2525</v>
      </c>
      <c r="D26" s="338">
        <v>2789</v>
      </c>
      <c r="E26" s="339">
        <f t="shared" si="2"/>
        <v>5314</v>
      </c>
      <c r="F26" s="343">
        <v>2571</v>
      </c>
      <c r="G26" s="6">
        <f t="shared" si="1"/>
        <v>46</v>
      </c>
      <c r="H26" s="7">
        <f t="shared" si="0"/>
        <v>1.8217821782178216</v>
      </c>
      <c r="J26" s="834">
        <v>5314</v>
      </c>
    </row>
    <row r="27" spans="2:10" x14ac:dyDescent="0.25">
      <c r="B27" s="178" t="s">
        <v>32</v>
      </c>
      <c r="C27" s="52">
        <v>1664</v>
      </c>
      <c r="D27" s="338">
        <v>2035</v>
      </c>
      <c r="E27" s="339">
        <f t="shared" si="2"/>
        <v>3699</v>
      </c>
      <c r="F27" s="343">
        <v>1770</v>
      </c>
      <c r="G27" s="6">
        <f t="shared" si="1"/>
        <v>106</v>
      </c>
      <c r="H27" s="7">
        <f t="shared" si="0"/>
        <v>6.3701923076923075</v>
      </c>
      <c r="J27" s="834">
        <v>3699</v>
      </c>
    </row>
    <row r="28" spans="2:10" x14ac:dyDescent="0.25">
      <c r="B28" s="178" t="s">
        <v>33</v>
      </c>
      <c r="C28" s="52">
        <v>1936</v>
      </c>
      <c r="D28" s="338">
        <v>2119</v>
      </c>
      <c r="E28" s="339">
        <f t="shared" si="2"/>
        <v>4055</v>
      </c>
      <c r="F28" s="343">
        <v>1880</v>
      </c>
      <c r="G28" s="6">
        <f t="shared" si="1"/>
        <v>-56</v>
      </c>
      <c r="H28" s="7">
        <f t="shared" si="0"/>
        <v>-2.8925619834710745</v>
      </c>
      <c r="J28" s="834">
        <v>4055</v>
      </c>
    </row>
    <row r="29" spans="2:10" x14ac:dyDescent="0.25">
      <c r="B29" s="178" t="s">
        <v>34</v>
      </c>
      <c r="C29" s="52">
        <v>1808</v>
      </c>
      <c r="D29" s="338">
        <v>2156</v>
      </c>
      <c r="E29" s="339">
        <f t="shared" si="2"/>
        <v>3964</v>
      </c>
      <c r="F29" s="343">
        <v>1950</v>
      </c>
      <c r="G29" s="6">
        <f t="shared" si="1"/>
        <v>142</v>
      </c>
      <c r="H29" s="7">
        <f t="shared" si="0"/>
        <v>7.8539823008849554</v>
      </c>
      <c r="J29" s="834">
        <v>3964</v>
      </c>
    </row>
    <row r="30" spans="2:10" x14ac:dyDescent="0.25">
      <c r="B30" s="178" t="s">
        <v>35</v>
      </c>
      <c r="C30" s="52">
        <v>1013</v>
      </c>
      <c r="D30" s="338">
        <v>1054</v>
      </c>
      <c r="E30" s="339">
        <f t="shared" si="2"/>
        <v>2067</v>
      </c>
      <c r="F30" s="343">
        <v>1055</v>
      </c>
      <c r="G30" s="6">
        <f t="shared" si="1"/>
        <v>42</v>
      </c>
      <c r="H30" s="7">
        <f t="shared" si="0"/>
        <v>4.1461006910167821</v>
      </c>
      <c r="J30" s="834">
        <v>2067</v>
      </c>
    </row>
    <row r="31" spans="2:10" x14ac:dyDescent="0.25">
      <c r="B31" s="178" t="s">
        <v>36</v>
      </c>
      <c r="C31" s="52">
        <v>679</v>
      </c>
      <c r="D31" s="338">
        <v>720</v>
      </c>
      <c r="E31" s="339">
        <f t="shared" si="2"/>
        <v>1399</v>
      </c>
      <c r="F31" s="343">
        <v>704</v>
      </c>
      <c r="G31" s="6">
        <f t="shared" si="1"/>
        <v>25</v>
      </c>
      <c r="H31" s="7">
        <f t="shared" si="0"/>
        <v>3.6818851251840945</v>
      </c>
      <c r="J31" s="834">
        <v>1399</v>
      </c>
    </row>
    <row r="32" spans="2:10" x14ac:dyDescent="0.25">
      <c r="B32" s="178" t="s">
        <v>37</v>
      </c>
      <c r="C32" s="52">
        <v>1264</v>
      </c>
      <c r="D32" s="338">
        <v>1350</v>
      </c>
      <c r="E32" s="339">
        <f t="shared" si="2"/>
        <v>2614</v>
      </c>
      <c r="F32" s="343">
        <v>1248</v>
      </c>
      <c r="G32" s="6">
        <f t="shared" si="1"/>
        <v>-16</v>
      </c>
      <c r="H32" s="7">
        <f t="shared" si="0"/>
        <v>-1.2658227848101267</v>
      </c>
      <c r="J32" s="834">
        <v>2614</v>
      </c>
    </row>
    <row r="33" spans="2:10" x14ac:dyDescent="0.25">
      <c r="B33" s="178" t="s">
        <v>38</v>
      </c>
      <c r="C33" s="52">
        <v>3129</v>
      </c>
      <c r="D33" s="338">
        <v>3386</v>
      </c>
      <c r="E33" s="339">
        <f t="shared" si="2"/>
        <v>6515</v>
      </c>
      <c r="F33" s="343">
        <v>3107</v>
      </c>
      <c r="G33" s="6">
        <f t="shared" si="1"/>
        <v>-22</v>
      </c>
      <c r="H33" s="7">
        <f t="shared" si="0"/>
        <v>-0.70310003195909243</v>
      </c>
      <c r="J33" s="834">
        <v>6515</v>
      </c>
    </row>
    <row r="34" spans="2:10" ht="15.75" thickBot="1" x14ac:dyDescent="0.3">
      <c r="B34" s="179" t="s">
        <v>39</v>
      </c>
      <c r="C34" s="53">
        <v>898</v>
      </c>
      <c r="D34" s="340">
        <v>969</v>
      </c>
      <c r="E34" s="341">
        <f t="shared" si="2"/>
        <v>1867</v>
      </c>
      <c r="F34" s="344">
        <v>932</v>
      </c>
      <c r="G34" s="4">
        <f t="shared" si="1"/>
        <v>34</v>
      </c>
      <c r="H34" s="8">
        <f t="shared" si="0"/>
        <v>3.7861915367483299</v>
      </c>
      <c r="J34" s="834">
        <v>1867</v>
      </c>
    </row>
    <row r="35" spans="2:10" x14ac:dyDescent="0.25">
      <c r="D35" s="57"/>
      <c r="E35" s="363">
        <f>SUM(E10:E34)</f>
        <v>93337</v>
      </c>
      <c r="F35" s="57"/>
    </row>
  </sheetData>
  <mergeCells count="9">
    <mergeCell ref="B5:B8"/>
    <mergeCell ref="C5:H5"/>
    <mergeCell ref="D6:D8"/>
    <mergeCell ref="C6:C8"/>
    <mergeCell ref="G6:H6"/>
    <mergeCell ref="G7:G8"/>
    <mergeCell ref="H7:H8"/>
    <mergeCell ref="E6:E8"/>
    <mergeCell ref="F6:F8"/>
  </mergeCells>
  <printOptions horizontalCentered="1" verticalCentered="1"/>
  <pageMargins left="3.937007874015748E-2" right="3.937007874015748E-2" top="3.937007874015748E-2" bottom="3.937007874015748E-2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B1:J42"/>
  <sheetViews>
    <sheetView zoomScale="80" zoomScaleNormal="80" workbookViewId="0">
      <selection activeCell="B1" sqref="B1"/>
    </sheetView>
  </sheetViews>
  <sheetFormatPr defaultColWidth="9.140625" defaultRowHeight="15" x14ac:dyDescent="0.25"/>
  <cols>
    <col min="1" max="1" width="2.28515625" style="11" customWidth="1"/>
    <col min="2" max="2" width="60.28515625" style="11" customWidth="1"/>
    <col min="3" max="3" width="10.28515625" style="11" customWidth="1"/>
    <col min="4" max="4" width="9.140625" style="11" customWidth="1"/>
    <col min="5" max="5" width="11" style="11" customWidth="1"/>
    <col min="6" max="6" width="8.7109375" style="11" customWidth="1"/>
    <col min="7" max="7" width="13.5703125" style="11" customWidth="1"/>
    <col min="8" max="8" width="9.140625" style="11"/>
    <col min="9" max="9" width="8" style="11" customWidth="1"/>
    <col min="10" max="16384" width="9.140625" style="11"/>
  </cols>
  <sheetData>
    <row r="1" spans="2:10" x14ac:dyDescent="0.25">
      <c r="B1" s="11" t="s">
        <v>255</v>
      </c>
    </row>
    <row r="2" spans="2:10" ht="15.75" thickBot="1" x14ac:dyDescent="0.3">
      <c r="B2" s="11" t="s">
        <v>325</v>
      </c>
    </row>
    <row r="3" spans="2:10" x14ac:dyDescent="0.25">
      <c r="B3" s="885" t="s">
        <v>103</v>
      </c>
      <c r="C3" s="901" t="s">
        <v>418</v>
      </c>
      <c r="D3" s="923"/>
      <c r="E3" s="901" t="s">
        <v>489</v>
      </c>
      <c r="F3" s="923"/>
      <c r="G3" s="885" t="s">
        <v>109</v>
      </c>
    </row>
    <row r="4" spans="2:10" x14ac:dyDescent="0.25">
      <c r="B4" s="921"/>
      <c r="C4" s="924"/>
      <c r="D4" s="925"/>
      <c r="E4" s="924"/>
      <c r="F4" s="925"/>
      <c r="G4" s="926"/>
    </row>
    <row r="5" spans="2:10" ht="43.5" customHeight="1" thickBot="1" x14ac:dyDescent="0.3">
      <c r="B5" s="922"/>
      <c r="C5" s="580" t="s">
        <v>4</v>
      </c>
      <c r="D5" s="541" t="s">
        <v>414</v>
      </c>
      <c r="E5" s="580" t="s">
        <v>4</v>
      </c>
      <c r="F5" s="541" t="s">
        <v>414</v>
      </c>
      <c r="G5" s="583" t="s">
        <v>4</v>
      </c>
    </row>
    <row r="6" spans="2:10" ht="30" customHeight="1" thickBot="1" x14ac:dyDescent="0.3">
      <c r="B6" s="23" t="s">
        <v>119</v>
      </c>
      <c r="C6" s="84">
        <v>51752</v>
      </c>
      <c r="D6" s="85">
        <v>100</v>
      </c>
      <c r="E6" s="84">
        <v>48793</v>
      </c>
      <c r="F6" s="85">
        <v>100</v>
      </c>
      <c r="G6" s="86">
        <f>SUM(E6)-C6</f>
        <v>-2959</v>
      </c>
    </row>
    <row r="7" spans="2:10" ht="30.75" customHeight="1" thickBot="1" x14ac:dyDescent="0.3">
      <c r="B7" s="43" t="s">
        <v>120</v>
      </c>
      <c r="C7" s="44">
        <f>SUM(C8)+C25</f>
        <v>45848</v>
      </c>
      <c r="D7" s="284">
        <f>SUM(C7)/C6*100</f>
        <v>88.591745246560521</v>
      </c>
      <c r="E7" s="44">
        <f>SUM(E8)+E25</f>
        <v>43613</v>
      </c>
      <c r="F7" s="284">
        <f>SUM(E7)/E6*100</f>
        <v>89.383723075031256</v>
      </c>
      <c r="G7" s="208">
        <f>SUM(E7)-C7</f>
        <v>-2235</v>
      </c>
    </row>
    <row r="8" spans="2:10" ht="22.5" customHeight="1" x14ac:dyDescent="0.25">
      <c r="B8" s="589" t="s">
        <v>121</v>
      </c>
      <c r="C8" s="590">
        <v>29541</v>
      </c>
      <c r="D8" s="591">
        <f>SUM(C8)/C6*100</f>
        <v>57.081851909104962</v>
      </c>
      <c r="E8" s="590">
        <v>27913</v>
      </c>
      <c r="F8" s="591">
        <f>SUM(E8)/E6*100</f>
        <v>57.206976410550695</v>
      </c>
      <c r="G8" s="592">
        <f>SUM(E8)-C8</f>
        <v>-1628</v>
      </c>
    </row>
    <row r="9" spans="2:10" ht="17.25" customHeight="1" x14ac:dyDescent="0.25">
      <c r="B9" s="58" t="s">
        <v>1</v>
      </c>
      <c r="C9" s="59"/>
      <c r="D9" s="60"/>
      <c r="E9" s="59"/>
      <c r="F9" s="60"/>
      <c r="G9" s="80"/>
    </row>
    <row r="10" spans="2:10" ht="24" customHeight="1" x14ac:dyDescent="0.25">
      <c r="B10" s="593" t="s">
        <v>122</v>
      </c>
      <c r="C10" s="559">
        <v>23146</v>
      </c>
      <c r="D10" s="594">
        <f>SUM(C10)/C6*100</f>
        <v>44.724841552017317</v>
      </c>
      <c r="E10" s="559">
        <v>21956</v>
      </c>
      <c r="F10" s="594">
        <f>SUM(E10)/E6*100</f>
        <v>44.998257946836631</v>
      </c>
      <c r="G10" s="560">
        <f>SUM(E10)-C10</f>
        <v>-1190</v>
      </c>
      <c r="H10" s="49"/>
      <c r="I10" s="49"/>
    </row>
    <row r="11" spans="2:10" ht="22.5" customHeight="1" thickBot="1" x14ac:dyDescent="0.3">
      <c r="B11" s="595" t="s">
        <v>123</v>
      </c>
      <c r="C11" s="596">
        <v>6395</v>
      </c>
      <c r="D11" s="597">
        <f>SUM(C11)/C6*100</f>
        <v>12.357010357087649</v>
      </c>
      <c r="E11" s="596">
        <v>5957</v>
      </c>
      <c r="F11" s="597">
        <f>SUM(E11)/E6*100</f>
        <v>12.208718463714058</v>
      </c>
      <c r="G11" s="598">
        <f>SUM(E11)-C11</f>
        <v>-438</v>
      </c>
      <c r="H11" s="299"/>
      <c r="I11" s="366">
        <f>SUM(C10:C11)</f>
        <v>29541</v>
      </c>
      <c r="J11" s="366">
        <f>SUM(E10:E11)</f>
        <v>27913</v>
      </c>
    </row>
    <row r="12" spans="2:10" ht="26.25" customHeight="1" thickTop="1" x14ac:dyDescent="0.25">
      <c r="B12" s="309" t="s">
        <v>124</v>
      </c>
      <c r="C12" s="310"/>
      <c r="D12" s="311"/>
      <c r="E12" s="310"/>
      <c r="F12" s="311"/>
      <c r="G12" s="312"/>
      <c r="I12" s="299"/>
    </row>
    <row r="13" spans="2:10" ht="26.25" customHeight="1" x14ac:dyDescent="0.25">
      <c r="B13" s="74" t="s">
        <v>125</v>
      </c>
      <c r="C13" s="31">
        <v>2178</v>
      </c>
      <c r="D13" s="69">
        <f>SUM(C13)/C6*100</f>
        <v>4.2085330035554183</v>
      </c>
      <c r="E13" s="31">
        <v>2031</v>
      </c>
      <c r="F13" s="69">
        <f>SUM(E13)/E6*100</f>
        <v>4.1624823232840775</v>
      </c>
      <c r="G13" s="35">
        <f t="shared" ref="G13:G42" si="0">SUM(E13)-C13</f>
        <v>-147</v>
      </c>
    </row>
    <row r="14" spans="2:10" ht="26.25" customHeight="1" x14ac:dyDescent="0.25">
      <c r="B14" s="61" t="s">
        <v>126</v>
      </c>
      <c r="C14" s="13">
        <v>1371</v>
      </c>
      <c r="D14" s="62">
        <f>SUM(C14)/C6*100</f>
        <v>2.6491729788220746</v>
      </c>
      <c r="E14" s="13">
        <v>1377</v>
      </c>
      <c r="F14" s="62">
        <f>SUM(E14)/E6*100</f>
        <v>2.8221261246490275</v>
      </c>
      <c r="G14" s="33">
        <f t="shared" si="0"/>
        <v>6</v>
      </c>
    </row>
    <row r="15" spans="2:10" ht="28.5" customHeight="1" x14ac:dyDescent="0.25">
      <c r="B15" s="61" t="s">
        <v>127</v>
      </c>
      <c r="C15" s="13">
        <v>1066</v>
      </c>
      <c r="D15" s="62">
        <f>SUM(C15)/C6*100</f>
        <v>2.0598237749265729</v>
      </c>
      <c r="E15" s="13">
        <v>978</v>
      </c>
      <c r="F15" s="62">
        <f>SUM(E15)/E6*100</f>
        <v>2.0043858750230568</v>
      </c>
      <c r="G15" s="33">
        <f t="shared" si="0"/>
        <v>-88</v>
      </c>
    </row>
    <row r="16" spans="2:10" ht="27" customHeight="1" x14ac:dyDescent="0.25">
      <c r="B16" s="313" t="s">
        <v>128</v>
      </c>
      <c r="C16" s="13">
        <v>9</v>
      </c>
      <c r="D16" s="62">
        <f>SUM(C16)/C6*100</f>
        <v>1.7390632246096768E-2</v>
      </c>
      <c r="E16" s="63">
        <v>5</v>
      </c>
      <c r="F16" s="64">
        <f>SUM(E16)/E6*100</f>
        <v>1.0247371549197632E-2</v>
      </c>
      <c r="G16" s="81">
        <f t="shared" si="0"/>
        <v>-4</v>
      </c>
    </row>
    <row r="17" spans="2:7" ht="30" x14ac:dyDescent="0.25">
      <c r="B17" s="61" t="s">
        <v>79</v>
      </c>
      <c r="C17" s="13">
        <v>1119</v>
      </c>
      <c r="D17" s="62">
        <f>SUM(C17)/C6*100</f>
        <v>2.1622352759313652</v>
      </c>
      <c r="E17" s="13">
        <v>900</v>
      </c>
      <c r="F17" s="62">
        <f>SUM(E17)/E6*100</f>
        <v>1.8445268788555735</v>
      </c>
      <c r="G17" s="33">
        <f t="shared" si="0"/>
        <v>-219</v>
      </c>
    </row>
    <row r="18" spans="2:7" ht="34.5" customHeight="1" x14ac:dyDescent="0.25">
      <c r="B18" s="61" t="s">
        <v>87</v>
      </c>
      <c r="C18" s="13">
        <v>430</v>
      </c>
      <c r="D18" s="62">
        <f>SUM(C18)/C6*100</f>
        <v>0.8308857628690679</v>
      </c>
      <c r="E18" s="63">
        <v>457</v>
      </c>
      <c r="F18" s="64">
        <f>SUM(E18)/E6*100</f>
        <v>0.93660975959666337</v>
      </c>
      <c r="G18" s="81">
        <f t="shared" si="0"/>
        <v>27</v>
      </c>
    </row>
    <row r="19" spans="2:7" ht="30" customHeight="1" x14ac:dyDescent="0.25">
      <c r="B19" s="61" t="s">
        <v>129</v>
      </c>
      <c r="C19" s="13">
        <v>58</v>
      </c>
      <c r="D19" s="62">
        <f>SUM(C19)/C6*100</f>
        <v>0.11207296336373475</v>
      </c>
      <c r="E19" s="63">
        <v>30</v>
      </c>
      <c r="F19" s="64">
        <f>SUM(E19)/E6*100</f>
        <v>6.1484229295185787E-2</v>
      </c>
      <c r="G19" s="81">
        <f t="shared" si="0"/>
        <v>-28</v>
      </c>
    </row>
    <row r="20" spans="2:7" ht="32.25" customHeight="1" x14ac:dyDescent="0.25">
      <c r="B20" s="61" t="s">
        <v>130</v>
      </c>
      <c r="C20" s="13">
        <v>1</v>
      </c>
      <c r="D20" s="62">
        <f>SUM(C20)/C6*100</f>
        <v>1.9322924717885299E-3</v>
      </c>
      <c r="E20" s="63">
        <v>0</v>
      </c>
      <c r="F20" s="64">
        <f>SUM(E20)/E6*100</f>
        <v>0</v>
      </c>
      <c r="G20" s="81">
        <f t="shared" si="0"/>
        <v>-1</v>
      </c>
    </row>
    <row r="21" spans="2:7" ht="33.75" customHeight="1" x14ac:dyDescent="0.25">
      <c r="B21" s="61" t="s">
        <v>131</v>
      </c>
      <c r="C21" s="13">
        <v>0</v>
      </c>
      <c r="D21" s="62">
        <f>SUM(C21)/C6*100</f>
        <v>0</v>
      </c>
      <c r="E21" s="63">
        <v>0</v>
      </c>
      <c r="F21" s="64">
        <f>SUM(E21)/E6*100</f>
        <v>0</v>
      </c>
      <c r="G21" s="81">
        <f t="shared" si="0"/>
        <v>0</v>
      </c>
    </row>
    <row r="22" spans="2:7" ht="36.75" customHeight="1" x14ac:dyDescent="0.25">
      <c r="B22" s="61" t="s">
        <v>132</v>
      </c>
      <c r="C22" s="13">
        <v>0</v>
      </c>
      <c r="D22" s="62">
        <f>SUM(C22)/C6*100</f>
        <v>0</v>
      </c>
      <c r="E22" s="63">
        <v>0</v>
      </c>
      <c r="F22" s="64">
        <f>SUM(E22)/E6*100</f>
        <v>0</v>
      </c>
      <c r="G22" s="81">
        <f t="shared" si="0"/>
        <v>0</v>
      </c>
    </row>
    <row r="23" spans="2:7" ht="30" customHeight="1" x14ac:dyDescent="0.25">
      <c r="B23" s="75" t="s">
        <v>133</v>
      </c>
      <c r="C23" s="29">
        <v>64</v>
      </c>
      <c r="D23" s="67">
        <f>SUM(C23)/C6*100</f>
        <v>0.12366671819446591</v>
      </c>
      <c r="E23" s="76">
        <v>55</v>
      </c>
      <c r="F23" s="77">
        <f>SUM(E23)/E6*100</f>
        <v>0.11272108704117395</v>
      </c>
      <c r="G23" s="82">
        <f t="shared" si="0"/>
        <v>-9</v>
      </c>
    </row>
    <row r="24" spans="2:7" ht="27.75" customHeight="1" thickBot="1" x14ac:dyDescent="0.3">
      <c r="B24" s="307" t="s">
        <v>140</v>
      </c>
      <c r="C24" s="29">
        <v>108</v>
      </c>
      <c r="D24" s="67">
        <f>SUM(C24)/C6*100</f>
        <v>0.20868758695316122</v>
      </c>
      <c r="E24" s="29">
        <v>129</v>
      </c>
      <c r="F24" s="67">
        <f>SUM(E24)/E6*100</f>
        <v>0.26438218596929891</v>
      </c>
      <c r="G24" s="34">
        <f t="shared" si="0"/>
        <v>21</v>
      </c>
    </row>
    <row r="25" spans="2:7" ht="20.25" customHeight="1" thickBot="1" x14ac:dyDescent="0.3">
      <c r="B25" s="548" t="s">
        <v>134</v>
      </c>
      <c r="C25" s="550">
        <f>SUM(C26:C33)</f>
        <v>16307</v>
      </c>
      <c r="D25" s="835">
        <f>SUM(C25)/C6*100</f>
        <v>31.509893337455559</v>
      </c>
      <c r="E25" s="550">
        <f>SUM(E26:E33)</f>
        <v>15700</v>
      </c>
      <c r="F25" s="835">
        <f>SUM(E25)/E6*100</f>
        <v>32.176746664480561</v>
      </c>
      <c r="G25" s="551">
        <f t="shared" si="0"/>
        <v>-607</v>
      </c>
    </row>
    <row r="26" spans="2:7" ht="60" customHeight="1" x14ac:dyDescent="0.25">
      <c r="B26" s="68" t="s">
        <v>135</v>
      </c>
      <c r="C26" s="308">
        <v>878</v>
      </c>
      <c r="D26" s="69">
        <f>SUM(C26)/C6*100</f>
        <v>1.6965527902303292</v>
      </c>
      <c r="E26" s="308">
        <v>602</v>
      </c>
      <c r="F26" s="69">
        <f>SUM(E26)/E6*100</f>
        <v>1.2337835345233947</v>
      </c>
      <c r="G26" s="35">
        <f t="shared" si="0"/>
        <v>-276</v>
      </c>
    </row>
    <row r="27" spans="2:7" ht="24" customHeight="1" x14ac:dyDescent="0.25">
      <c r="B27" s="65" t="s">
        <v>136</v>
      </c>
      <c r="C27" s="63">
        <v>6470</v>
      </c>
      <c r="D27" s="62">
        <f>SUM(C27)/C6*100</f>
        <v>12.501932292471787</v>
      </c>
      <c r="E27" s="63">
        <v>6673</v>
      </c>
      <c r="F27" s="62">
        <f>SUM(E27)/E6*100</f>
        <v>13.676142069559157</v>
      </c>
      <c r="G27" s="33">
        <f t="shared" si="0"/>
        <v>203</v>
      </c>
    </row>
    <row r="28" spans="2:7" ht="27" customHeight="1" x14ac:dyDescent="0.25">
      <c r="B28" s="65" t="s">
        <v>89</v>
      </c>
      <c r="C28" s="13">
        <v>3778</v>
      </c>
      <c r="D28" s="62">
        <f>SUM(C28)/C6*100</f>
        <v>7.300200958417066</v>
      </c>
      <c r="E28" s="13">
        <v>3481</v>
      </c>
      <c r="F28" s="62">
        <f>SUM(E28)/E6*100</f>
        <v>7.1342200725513907</v>
      </c>
      <c r="G28" s="33">
        <f t="shared" si="0"/>
        <v>-297</v>
      </c>
    </row>
    <row r="29" spans="2:7" ht="24" customHeight="1" x14ac:dyDescent="0.25">
      <c r="B29" s="65" t="s">
        <v>90</v>
      </c>
      <c r="C29" s="13">
        <v>26</v>
      </c>
      <c r="D29" s="62">
        <f>SUM(C29)/C6*100</f>
        <v>5.0239604266501779E-2</v>
      </c>
      <c r="E29" s="13">
        <v>30</v>
      </c>
      <c r="F29" s="62">
        <f>SUM(E29)/E6*100</f>
        <v>6.1484229295185787E-2</v>
      </c>
      <c r="G29" s="33">
        <f t="shared" si="0"/>
        <v>4</v>
      </c>
    </row>
    <row r="30" spans="2:7" ht="30" customHeight="1" x14ac:dyDescent="0.25">
      <c r="B30" s="65" t="s">
        <v>91</v>
      </c>
      <c r="C30" s="13">
        <v>810</v>
      </c>
      <c r="D30" s="62">
        <f>SUM(C30)/C6*100</f>
        <v>1.5651569021487095</v>
      </c>
      <c r="E30" s="13">
        <v>828</v>
      </c>
      <c r="F30" s="62">
        <f>SUM(E30)/E6*100</f>
        <v>1.6969647285471277</v>
      </c>
      <c r="G30" s="33">
        <f t="shared" si="0"/>
        <v>18</v>
      </c>
    </row>
    <row r="31" spans="2:7" ht="29.25" customHeight="1" x14ac:dyDescent="0.25">
      <c r="B31" s="65" t="s">
        <v>84</v>
      </c>
      <c r="C31" s="13">
        <v>198</v>
      </c>
      <c r="D31" s="62">
        <f>SUM(C31)/C6*100</f>
        <v>0.38259390941412896</v>
      </c>
      <c r="E31" s="13">
        <v>187</v>
      </c>
      <c r="F31" s="62">
        <f>SUM(E31)/E6*100</f>
        <v>0.38325169593999137</v>
      </c>
      <c r="G31" s="33">
        <f t="shared" si="0"/>
        <v>-11</v>
      </c>
    </row>
    <row r="32" spans="2:7" ht="28.5" customHeight="1" x14ac:dyDescent="0.25">
      <c r="B32" s="66" t="s">
        <v>85</v>
      </c>
      <c r="C32" s="29">
        <v>240</v>
      </c>
      <c r="D32" s="67">
        <f>SUM(C32)/C6*100</f>
        <v>0.46375019322924721</v>
      </c>
      <c r="E32" s="29">
        <v>231</v>
      </c>
      <c r="F32" s="67">
        <f>SUM(E32)/E6*100</f>
        <v>0.47342856557293056</v>
      </c>
      <c r="G32" s="34">
        <f t="shared" si="0"/>
        <v>-9</v>
      </c>
    </row>
    <row r="33" spans="2:7" ht="24.75" customHeight="1" thickBot="1" x14ac:dyDescent="0.3">
      <c r="B33" s="66" t="s">
        <v>92</v>
      </c>
      <c r="C33" s="29">
        <v>3907</v>
      </c>
      <c r="D33" s="67">
        <f>SUM(C33)/C6*100</f>
        <v>7.5494666872777865</v>
      </c>
      <c r="E33" s="29">
        <v>3668</v>
      </c>
      <c r="F33" s="67">
        <f>SUM(E33)/E6*100</f>
        <v>7.5174717684913821</v>
      </c>
      <c r="G33" s="34">
        <f t="shared" si="0"/>
        <v>-239</v>
      </c>
    </row>
    <row r="34" spans="2:7" ht="35.25" customHeight="1" thickBot="1" x14ac:dyDescent="0.3">
      <c r="B34" s="836" t="s">
        <v>479</v>
      </c>
      <c r="C34" s="837">
        <f>SUM(C35,C37,C39:C40,C42)</f>
        <v>5904</v>
      </c>
      <c r="D34" s="838">
        <f>SUM(C34)/C6*100</f>
        <v>11.408254753439481</v>
      </c>
      <c r="E34" s="837">
        <f>SUM(E35,E37,E39:E40,E42)</f>
        <v>5180</v>
      </c>
      <c r="F34" s="838">
        <f>SUM(E34)/E6*100</f>
        <v>10.616276924968746</v>
      </c>
      <c r="G34" s="839">
        <f t="shared" si="0"/>
        <v>-724</v>
      </c>
    </row>
    <row r="35" spans="2:7" ht="27" customHeight="1" x14ac:dyDescent="0.25">
      <c r="B35" s="68" t="s">
        <v>80</v>
      </c>
      <c r="C35" s="31">
        <v>773</v>
      </c>
      <c r="D35" s="69">
        <f>SUM(C35)/C6*100</f>
        <v>1.4936620806925336</v>
      </c>
      <c r="E35" s="31">
        <v>756</v>
      </c>
      <c r="F35" s="69">
        <f>SUM(E35)/E6*100</f>
        <v>1.5494025782386818</v>
      </c>
      <c r="G35" s="35">
        <f t="shared" si="0"/>
        <v>-17</v>
      </c>
    </row>
    <row r="36" spans="2:7" ht="23.25" customHeight="1" x14ac:dyDescent="0.25">
      <c r="B36" s="306" t="s">
        <v>137</v>
      </c>
      <c r="C36" s="13">
        <v>95</v>
      </c>
      <c r="D36" s="62">
        <f>SUM(C36)/C6*100</f>
        <v>0.18356778481991035</v>
      </c>
      <c r="E36" s="63">
        <v>122</v>
      </c>
      <c r="F36" s="69">
        <f>SUM(E36)/E6*100</f>
        <v>0.2500358658004222</v>
      </c>
      <c r="G36" s="81">
        <f t="shared" si="0"/>
        <v>27</v>
      </c>
    </row>
    <row r="37" spans="2:7" ht="25.5" customHeight="1" x14ac:dyDescent="0.25">
      <c r="B37" s="65" t="s">
        <v>81</v>
      </c>
      <c r="C37" s="13">
        <v>4612</v>
      </c>
      <c r="D37" s="62">
        <f>SUM(C37)/C6*100</f>
        <v>8.9117328798886994</v>
      </c>
      <c r="E37" s="13">
        <v>3927</v>
      </c>
      <c r="F37" s="62">
        <f>SUM(E37)/E6*100</f>
        <v>8.0482856147398198</v>
      </c>
      <c r="G37" s="33">
        <f t="shared" si="0"/>
        <v>-685</v>
      </c>
    </row>
    <row r="38" spans="2:7" ht="27" customHeight="1" x14ac:dyDescent="0.25">
      <c r="B38" s="306" t="s">
        <v>138</v>
      </c>
      <c r="C38" s="13">
        <v>8</v>
      </c>
      <c r="D38" s="62">
        <f>SUM(C38)/C6*100</f>
        <v>1.5458339774308239E-2</v>
      </c>
      <c r="E38" s="63">
        <v>4</v>
      </c>
      <c r="F38" s="64">
        <f>SUM(E38)/E6*100</f>
        <v>8.1978972393581036E-3</v>
      </c>
      <c r="G38" s="81">
        <f t="shared" si="0"/>
        <v>-4</v>
      </c>
    </row>
    <row r="39" spans="2:7" ht="28.5" customHeight="1" x14ac:dyDescent="0.25">
      <c r="B39" s="65" t="s">
        <v>82</v>
      </c>
      <c r="C39" s="13">
        <v>0</v>
      </c>
      <c r="D39" s="62">
        <f>SUM(C39)/C6*100</f>
        <v>0</v>
      </c>
      <c r="E39" s="13">
        <v>0</v>
      </c>
      <c r="F39" s="62">
        <f>SUM(E39)/E6*100</f>
        <v>0</v>
      </c>
      <c r="G39" s="33">
        <f t="shared" si="0"/>
        <v>0</v>
      </c>
    </row>
    <row r="40" spans="2:7" ht="25.5" customHeight="1" x14ac:dyDescent="0.25">
      <c r="B40" s="65" t="s">
        <v>83</v>
      </c>
      <c r="C40" s="13">
        <v>519</v>
      </c>
      <c r="D40" s="62">
        <f>SUM(C40)/C6*100</f>
        <v>1.002859792858247</v>
      </c>
      <c r="E40" s="13">
        <v>497</v>
      </c>
      <c r="F40" s="62">
        <f>SUM(E40)/E6*100</f>
        <v>1.0185887319902445</v>
      </c>
      <c r="G40" s="33">
        <f t="shared" si="0"/>
        <v>-22</v>
      </c>
    </row>
    <row r="41" spans="2:7" ht="29.25" customHeight="1" x14ac:dyDescent="0.25">
      <c r="B41" s="306" t="s">
        <v>139</v>
      </c>
      <c r="C41" s="13">
        <v>6</v>
      </c>
      <c r="D41" s="62">
        <f>SUM(C41)/C6*100</f>
        <v>1.159375483073118E-2</v>
      </c>
      <c r="E41" s="63">
        <v>9</v>
      </c>
      <c r="F41" s="64">
        <f>SUM(E41)/E6*100</f>
        <v>1.8445268788555735E-2</v>
      </c>
      <c r="G41" s="81">
        <f t="shared" si="0"/>
        <v>3</v>
      </c>
    </row>
    <row r="42" spans="2:7" ht="36" customHeight="1" thickBot="1" x14ac:dyDescent="0.3">
      <c r="B42" s="70" t="s">
        <v>88</v>
      </c>
      <c r="C42" s="19">
        <v>0</v>
      </c>
      <c r="D42" s="73">
        <f>SUM(C42)/C6*100</f>
        <v>0</v>
      </c>
      <c r="E42" s="71">
        <v>0</v>
      </c>
      <c r="F42" s="72">
        <f>SUM(E42)/E6*100</f>
        <v>0</v>
      </c>
      <c r="G42" s="83">
        <f t="shared" si="0"/>
        <v>0</v>
      </c>
    </row>
  </sheetData>
  <mergeCells count="4">
    <mergeCell ref="B3:B5"/>
    <mergeCell ref="E3:F4"/>
    <mergeCell ref="C3:D4"/>
    <mergeCell ref="G3:G4"/>
  </mergeCells>
  <pageMargins left="0.6692913385826772" right="0" top="0" bottom="0" header="0" footer="0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59999389629810485"/>
  </sheetPr>
  <dimension ref="B2:H13"/>
  <sheetViews>
    <sheetView workbookViewId="0">
      <selection activeCell="B1" sqref="B1"/>
    </sheetView>
  </sheetViews>
  <sheetFormatPr defaultColWidth="9.140625" defaultRowHeight="15" x14ac:dyDescent="0.25"/>
  <cols>
    <col min="1" max="1" width="2.28515625" style="2" customWidth="1"/>
    <col min="2" max="2" width="38.28515625" style="2" customWidth="1"/>
    <col min="3" max="3" width="10" style="2" customWidth="1"/>
    <col min="4" max="4" width="8.5703125" style="2" customWidth="1"/>
    <col min="5" max="5" width="9.140625" style="2"/>
    <col min="6" max="6" width="8.140625" style="2" customWidth="1"/>
    <col min="7" max="7" width="9.140625" style="2" customWidth="1"/>
    <col min="8" max="8" width="8.85546875" style="2" customWidth="1"/>
    <col min="9" max="9" width="10.28515625" style="2" customWidth="1"/>
    <col min="10" max="16384" width="9.140625" style="2"/>
  </cols>
  <sheetData>
    <row r="2" spans="2:8" x14ac:dyDescent="0.25">
      <c r="B2" s="11" t="s">
        <v>254</v>
      </c>
    </row>
    <row r="3" spans="2:8" x14ac:dyDescent="0.25">
      <c r="B3" s="11" t="s">
        <v>326</v>
      </c>
    </row>
    <row r="4" spans="2:8" ht="15.75" thickBot="1" x14ac:dyDescent="0.3"/>
    <row r="5" spans="2:8" ht="27.75" customHeight="1" x14ac:dyDescent="0.25">
      <c r="B5" s="927" t="s">
        <v>141</v>
      </c>
      <c r="C5" s="929" t="s">
        <v>420</v>
      </c>
      <c r="D5" s="929"/>
      <c r="E5" s="905" t="s">
        <v>519</v>
      </c>
      <c r="F5" s="929"/>
      <c r="G5" s="929" t="s">
        <v>109</v>
      </c>
      <c r="H5" s="904"/>
    </row>
    <row r="6" spans="2:8" ht="32.25" customHeight="1" thickBot="1" x14ac:dyDescent="0.3">
      <c r="B6" s="928"/>
      <c r="C6" s="540" t="s">
        <v>107</v>
      </c>
      <c r="D6" s="540" t="s">
        <v>414</v>
      </c>
      <c r="E6" s="699" t="s">
        <v>107</v>
      </c>
      <c r="F6" s="540" t="s">
        <v>414</v>
      </c>
      <c r="G6" s="700" t="s">
        <v>107</v>
      </c>
      <c r="H6" s="701" t="s">
        <v>414</v>
      </c>
    </row>
    <row r="7" spans="2:8" ht="30" customHeight="1" x14ac:dyDescent="0.25">
      <c r="B7" s="451" t="s">
        <v>4</v>
      </c>
      <c r="C7" s="452">
        <v>29541</v>
      </c>
      <c r="D7" s="453">
        <f>SUM(D8:D9)</f>
        <v>100</v>
      </c>
      <c r="E7" s="454">
        <v>27913</v>
      </c>
      <c r="F7" s="453">
        <f>SUM(F8:F9)</f>
        <v>100</v>
      </c>
      <c r="G7" s="455">
        <f>E7-C7</f>
        <v>-1628</v>
      </c>
      <c r="H7" s="456">
        <f>G7/C7*100</f>
        <v>-5.5109847330828341</v>
      </c>
    </row>
    <row r="8" spans="2:8" ht="29.25" customHeight="1" x14ac:dyDescent="0.25">
      <c r="B8" s="12" t="s">
        <v>5</v>
      </c>
      <c r="C8" s="9">
        <v>14683</v>
      </c>
      <c r="D8" s="10">
        <f>SUM(C8)/C7*100</f>
        <v>49.703801496225587</v>
      </c>
      <c r="E8" s="6">
        <v>13831</v>
      </c>
      <c r="F8" s="10">
        <f>SUM(E8)/E7*100</f>
        <v>49.550388707770573</v>
      </c>
      <c r="G8" s="99">
        <f>E8-C8</f>
        <v>-852</v>
      </c>
      <c r="H8" s="55">
        <f>E8*100/C8-100</f>
        <v>-5.8026288905537058</v>
      </c>
    </row>
    <row r="9" spans="2:8" ht="27.75" customHeight="1" thickBot="1" x14ac:dyDescent="0.3">
      <c r="B9" s="87" t="s">
        <v>6</v>
      </c>
      <c r="C9" s="5">
        <f>SUM(C7-C8)</f>
        <v>14858</v>
      </c>
      <c r="D9" s="48">
        <f>SUM(C9)/C7*100</f>
        <v>50.296198503774413</v>
      </c>
      <c r="E9" s="4">
        <f>SUM(E7)-E8</f>
        <v>14082</v>
      </c>
      <c r="F9" s="48">
        <f>SUM(E9)/E7*100</f>
        <v>50.44961129222942</v>
      </c>
      <c r="G9" s="100">
        <f>E9-C9</f>
        <v>-776</v>
      </c>
      <c r="H9" s="95">
        <f>E9*100/C9-100</f>
        <v>-5.2227756090994717</v>
      </c>
    </row>
    <row r="10" spans="2:8" ht="25.5" customHeight="1" x14ac:dyDescent="0.25">
      <c r="B10" s="275" t="s">
        <v>142</v>
      </c>
      <c r="C10" s="276"/>
      <c r="D10" s="276"/>
      <c r="E10" s="276"/>
      <c r="F10" s="276"/>
      <c r="G10" s="276"/>
      <c r="H10" s="277"/>
    </row>
    <row r="11" spans="2:8" ht="25.5" customHeight="1" x14ac:dyDescent="0.25">
      <c r="B11" s="12" t="s">
        <v>143</v>
      </c>
      <c r="C11" s="9">
        <v>26385</v>
      </c>
      <c r="D11" s="10">
        <f>SUM(C11)/C7*100</f>
        <v>89.316543109576514</v>
      </c>
      <c r="E11" s="6">
        <v>25383</v>
      </c>
      <c r="F11" s="10">
        <f>SUM(E11)/E7*100</f>
        <v>90.936122953462544</v>
      </c>
      <c r="G11" s="92">
        <f>E11-C11</f>
        <v>-1002</v>
      </c>
      <c r="H11" s="7">
        <f>E11*100/C11-100</f>
        <v>-3.7976122797043814</v>
      </c>
    </row>
    <row r="12" spans="2:8" ht="30" x14ac:dyDescent="0.25">
      <c r="B12" s="12" t="s">
        <v>144</v>
      </c>
      <c r="C12" s="14">
        <v>1158</v>
      </c>
      <c r="D12" s="90">
        <f>SUM(C12)/C7*100</f>
        <v>3.9199756270945461</v>
      </c>
      <c r="E12" s="88">
        <v>1086</v>
      </c>
      <c r="F12" s="90">
        <f>SUM(E12)/E7*100</f>
        <v>3.890660265825959</v>
      </c>
      <c r="G12" s="93">
        <f>E12-C12</f>
        <v>-72</v>
      </c>
      <c r="H12" s="26">
        <f>E12*100/C12-100</f>
        <v>-6.2176165803108745</v>
      </c>
    </row>
    <row r="13" spans="2:8" ht="23.25" customHeight="1" thickBot="1" x14ac:dyDescent="0.3">
      <c r="B13" s="304" t="s">
        <v>2</v>
      </c>
      <c r="C13" s="20">
        <v>3156</v>
      </c>
      <c r="D13" s="91">
        <f>SUM(C13)/C7*100</f>
        <v>10.683456890423479</v>
      </c>
      <c r="E13" s="89">
        <v>2530</v>
      </c>
      <c r="F13" s="91">
        <f>SUM(E13)/E7*100</f>
        <v>9.0638770465374545</v>
      </c>
      <c r="G13" s="94">
        <f>E13-C13</f>
        <v>-626</v>
      </c>
      <c r="H13" s="27">
        <f>E13*100/C13-100</f>
        <v>-19.835234474017739</v>
      </c>
    </row>
  </sheetData>
  <mergeCells count="4">
    <mergeCell ref="B5:B6"/>
    <mergeCell ref="E5:F5"/>
    <mergeCell ref="C5:D5"/>
    <mergeCell ref="G5:H5"/>
  </mergeCells>
  <pageMargins left="1.8897637795275593" right="0.70866141732283472" top="1.7322834645669292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B2:O34"/>
  <sheetViews>
    <sheetView zoomScale="90" zoomScaleNormal="90" workbookViewId="0">
      <selection activeCell="B1" sqref="B1"/>
    </sheetView>
  </sheetViews>
  <sheetFormatPr defaultColWidth="9.140625" defaultRowHeight="15" x14ac:dyDescent="0.25"/>
  <cols>
    <col min="1" max="1" width="2.28515625" style="11" customWidth="1"/>
    <col min="2" max="2" width="21.7109375" style="11" customWidth="1"/>
    <col min="3" max="3" width="9.42578125" style="11" customWidth="1"/>
    <col min="4" max="4" width="11" style="11" customWidth="1"/>
    <col min="5" max="5" width="7.140625" style="11" customWidth="1"/>
    <col min="6" max="6" width="9.85546875" style="11" customWidth="1"/>
    <col min="7" max="7" width="11.140625" style="11" customWidth="1"/>
    <col min="8" max="8" width="7" style="11" customWidth="1"/>
    <col min="9" max="9" width="9.28515625" style="11" customWidth="1"/>
    <col min="10" max="10" width="7.140625" style="11" customWidth="1"/>
    <col min="11" max="11" width="8.7109375" style="11" customWidth="1"/>
    <col min="12" max="12" width="7.28515625" style="11" customWidth="1"/>
    <col min="13" max="13" width="2.7109375" style="11" customWidth="1"/>
    <col min="14" max="14" width="10.7109375" style="11" customWidth="1"/>
    <col min="15" max="15" width="10.28515625" style="11" customWidth="1"/>
    <col min="16" max="16384" width="9.140625" style="11"/>
  </cols>
  <sheetData>
    <row r="2" spans="2:15" x14ac:dyDescent="0.25">
      <c r="B2" s="11" t="s">
        <v>253</v>
      </c>
    </row>
    <row r="3" spans="2:15" x14ac:dyDescent="0.25">
      <c r="B3" s="11" t="s">
        <v>327</v>
      </c>
    </row>
    <row r="4" spans="2:15" ht="14.45" thickBot="1" x14ac:dyDescent="0.3"/>
    <row r="5" spans="2:15" ht="15.75" thickBot="1" x14ac:dyDescent="0.3">
      <c r="B5" s="899" t="s">
        <v>108</v>
      </c>
      <c r="C5" s="931" t="s">
        <v>146</v>
      </c>
      <c r="D5" s="932"/>
      <c r="E5" s="932"/>
      <c r="F5" s="932"/>
      <c r="G5" s="932"/>
      <c r="H5" s="932"/>
      <c r="I5" s="932"/>
      <c r="J5" s="932"/>
      <c r="K5" s="932"/>
      <c r="L5" s="933"/>
    </row>
    <row r="6" spans="2:15" ht="28.5" customHeight="1" x14ac:dyDescent="0.25">
      <c r="B6" s="907"/>
      <c r="C6" s="934" t="s">
        <v>418</v>
      </c>
      <c r="D6" s="935"/>
      <c r="E6" s="936"/>
      <c r="F6" s="934" t="s">
        <v>489</v>
      </c>
      <c r="G6" s="935"/>
      <c r="H6" s="936"/>
      <c r="I6" s="934" t="s">
        <v>109</v>
      </c>
      <c r="J6" s="935"/>
      <c r="K6" s="935"/>
      <c r="L6" s="936"/>
    </row>
    <row r="7" spans="2:15" ht="43.5" customHeight="1" x14ac:dyDescent="0.25">
      <c r="B7" s="907"/>
      <c r="C7" s="930" t="s">
        <v>4</v>
      </c>
      <c r="D7" s="937" t="s">
        <v>72</v>
      </c>
      <c r="E7" s="938"/>
      <c r="F7" s="930" t="s">
        <v>4</v>
      </c>
      <c r="G7" s="937" t="s">
        <v>72</v>
      </c>
      <c r="H7" s="938"/>
      <c r="I7" s="939" t="s">
        <v>4</v>
      </c>
      <c r="J7" s="940"/>
      <c r="K7" s="937" t="s">
        <v>72</v>
      </c>
      <c r="L7" s="938"/>
    </row>
    <row r="8" spans="2:15" ht="15" customHeight="1" thickBot="1" x14ac:dyDescent="0.3">
      <c r="B8" s="900"/>
      <c r="C8" s="913"/>
      <c r="D8" s="540" t="s">
        <v>107</v>
      </c>
      <c r="E8" s="701" t="s">
        <v>414</v>
      </c>
      <c r="F8" s="913"/>
      <c r="G8" s="540" t="s">
        <v>107</v>
      </c>
      <c r="H8" s="701" t="s">
        <v>414</v>
      </c>
      <c r="I8" s="702" t="s">
        <v>107</v>
      </c>
      <c r="J8" s="540" t="s">
        <v>414</v>
      </c>
      <c r="K8" s="699" t="s">
        <v>107</v>
      </c>
      <c r="L8" s="701" t="s">
        <v>414</v>
      </c>
      <c r="N8" s="783" t="s">
        <v>337</v>
      </c>
      <c r="O8" s="783" t="s">
        <v>338</v>
      </c>
    </row>
    <row r="9" spans="2:15" ht="26.25" customHeight="1" thickBot="1" x14ac:dyDescent="0.3">
      <c r="B9" s="206" t="s">
        <v>14</v>
      </c>
      <c r="C9" s="79">
        <f>SUM(C10:C34)</f>
        <v>51752</v>
      </c>
      <c r="D9" s="266">
        <f>SUM(D10:D34)</f>
        <v>29541</v>
      </c>
      <c r="E9" s="285">
        <f>D9/C9*100</f>
        <v>57.081851909104962</v>
      </c>
      <c r="F9" s="79">
        <f>SUM(F10:F34)</f>
        <v>48793</v>
      </c>
      <c r="G9" s="266">
        <f>SUM(G10:G34)</f>
        <v>27913</v>
      </c>
      <c r="H9" s="267">
        <f>SUM(G9)/F9*100</f>
        <v>57.206976410550695</v>
      </c>
      <c r="I9" s="79">
        <f>SUM(F9)-C9</f>
        <v>-2959</v>
      </c>
      <c r="J9" s="286">
        <f>SUM(I9)/C9*100</f>
        <v>-5.7176534240222603</v>
      </c>
      <c r="K9" s="266">
        <f>SUM(G9)-D9</f>
        <v>-1628</v>
      </c>
      <c r="L9" s="267">
        <f>SUM(K9)/D9*100</f>
        <v>-5.5109847330828341</v>
      </c>
      <c r="N9" s="374" t="s">
        <v>93</v>
      </c>
      <c r="O9" s="374" t="s">
        <v>93</v>
      </c>
    </row>
    <row r="10" spans="2:15" ht="18" customHeight="1" x14ac:dyDescent="0.25">
      <c r="B10" s="54" t="s">
        <v>15</v>
      </c>
      <c r="C10" s="180">
        <v>767</v>
      </c>
      <c r="D10" s="181">
        <v>451</v>
      </c>
      <c r="E10" s="101">
        <f t="shared" ref="E10:E34" si="0">D10/C10*100</f>
        <v>58.80052151238592</v>
      </c>
      <c r="F10" s="180">
        <v>812</v>
      </c>
      <c r="G10" s="181">
        <v>515</v>
      </c>
      <c r="H10" s="55">
        <f t="shared" ref="H10:H34" si="1">SUM(G10)/F10*100</f>
        <v>63.423645320197039</v>
      </c>
      <c r="I10" s="180">
        <f t="shared" ref="I10:I34" si="2">SUM(F10)-C10</f>
        <v>45</v>
      </c>
      <c r="J10" s="273">
        <f t="shared" ref="J10:J34" si="3">SUM(I10)/C10*100</f>
        <v>5.8670143415906129</v>
      </c>
      <c r="K10" s="181">
        <f>SUM(G10)-D10</f>
        <v>64</v>
      </c>
      <c r="L10" s="55">
        <f t="shared" ref="L10:L34" si="4">SUM(K10)/D10*100</f>
        <v>14.190687361419069</v>
      </c>
      <c r="N10" s="181">
        <f>RANK(F10,F10:F34,0)</f>
        <v>24</v>
      </c>
      <c r="O10" s="181">
        <f>RANK(F10,F10:F34,1)</f>
        <v>2</v>
      </c>
    </row>
    <row r="11" spans="2:15" ht="15.75" customHeight="1" x14ac:dyDescent="0.25">
      <c r="B11" s="12" t="s">
        <v>16</v>
      </c>
      <c r="C11" s="51">
        <v>2056</v>
      </c>
      <c r="D11" s="9">
        <v>1245</v>
      </c>
      <c r="E11" s="101">
        <f t="shared" si="0"/>
        <v>60.554474708171199</v>
      </c>
      <c r="F11" s="51">
        <v>2225</v>
      </c>
      <c r="G11" s="9">
        <v>1266</v>
      </c>
      <c r="H11" s="7">
        <f t="shared" si="1"/>
        <v>56.898876404494381</v>
      </c>
      <c r="I11" s="51">
        <f t="shared" si="2"/>
        <v>169</v>
      </c>
      <c r="J11" s="102">
        <f t="shared" si="3"/>
        <v>8.2198443579766529</v>
      </c>
      <c r="K11" s="9">
        <f>SUM(G11)-D11</f>
        <v>21</v>
      </c>
      <c r="L11" s="7">
        <f t="shared" si="4"/>
        <v>1.6867469879518073</v>
      </c>
      <c r="N11" s="9">
        <f>RANK(F11,F10:F34,0)</f>
        <v>9</v>
      </c>
      <c r="O11" s="9">
        <f>RANK(F11,F10:F34,1)</f>
        <v>17</v>
      </c>
    </row>
    <row r="12" spans="2:15" x14ac:dyDescent="0.25">
      <c r="B12" s="12" t="s">
        <v>17</v>
      </c>
      <c r="C12" s="51">
        <v>2415</v>
      </c>
      <c r="D12" s="9">
        <v>1309</v>
      </c>
      <c r="E12" s="101">
        <f t="shared" si="0"/>
        <v>54.20289855072464</v>
      </c>
      <c r="F12" s="51">
        <v>2245</v>
      </c>
      <c r="G12" s="9">
        <v>1204</v>
      </c>
      <c r="H12" s="7">
        <f t="shared" si="1"/>
        <v>53.630289532293986</v>
      </c>
      <c r="I12" s="51">
        <f t="shared" si="2"/>
        <v>-170</v>
      </c>
      <c r="J12" s="102">
        <f t="shared" si="3"/>
        <v>-7.0393374741200834</v>
      </c>
      <c r="K12" s="9">
        <f t="shared" ref="K12:K34" si="5">SUM(G12)-D12</f>
        <v>-105</v>
      </c>
      <c r="L12" s="7">
        <f t="shared" si="4"/>
        <v>-8.0213903743315509</v>
      </c>
      <c r="N12" s="9">
        <f>RANK(F12,F10:F34,0)</f>
        <v>8</v>
      </c>
      <c r="O12" s="9">
        <f>RANK(F12,F10:F34,1)</f>
        <v>18</v>
      </c>
    </row>
    <row r="13" spans="2:15" x14ac:dyDescent="0.25">
      <c r="B13" s="12" t="s">
        <v>18</v>
      </c>
      <c r="C13" s="51">
        <v>3624</v>
      </c>
      <c r="D13" s="9">
        <v>2143</v>
      </c>
      <c r="E13" s="101">
        <f t="shared" si="0"/>
        <v>59.133554083885208</v>
      </c>
      <c r="F13" s="51">
        <v>3310</v>
      </c>
      <c r="G13" s="9">
        <v>1997</v>
      </c>
      <c r="H13" s="7">
        <f t="shared" si="1"/>
        <v>60.332326283987911</v>
      </c>
      <c r="I13" s="51">
        <f t="shared" si="2"/>
        <v>-314</v>
      </c>
      <c r="J13" s="102">
        <f t="shared" si="3"/>
        <v>-8.6644591611479029</v>
      </c>
      <c r="K13" s="9">
        <f t="shared" si="5"/>
        <v>-146</v>
      </c>
      <c r="L13" s="7">
        <f t="shared" si="4"/>
        <v>-6.8128791413905736</v>
      </c>
      <c r="N13" s="9">
        <f>RANK(F13,F10:F34,0)</f>
        <v>1</v>
      </c>
      <c r="O13" s="9">
        <f>RANK(F13,F10:F34,1)</f>
        <v>25</v>
      </c>
    </row>
    <row r="14" spans="2:15" x14ac:dyDescent="0.25">
      <c r="B14" s="12" t="s">
        <v>19</v>
      </c>
      <c r="C14" s="51">
        <v>3341</v>
      </c>
      <c r="D14" s="9">
        <v>1656</v>
      </c>
      <c r="E14" s="101">
        <f t="shared" si="0"/>
        <v>49.565998204130501</v>
      </c>
      <c r="F14" s="51">
        <v>3143</v>
      </c>
      <c r="G14" s="9">
        <v>1632</v>
      </c>
      <c r="H14" s="7">
        <f t="shared" si="1"/>
        <v>51.924912503977097</v>
      </c>
      <c r="I14" s="51">
        <f t="shared" si="2"/>
        <v>-198</v>
      </c>
      <c r="J14" s="102">
        <f t="shared" si="3"/>
        <v>-5.9263693504938635</v>
      </c>
      <c r="K14" s="9">
        <f t="shared" si="5"/>
        <v>-24</v>
      </c>
      <c r="L14" s="7">
        <f t="shared" si="4"/>
        <v>-1.4492753623188406</v>
      </c>
      <c r="N14" s="9">
        <f>RANK(F14,F10:F34,0)</f>
        <v>3</v>
      </c>
      <c r="O14" s="9">
        <f>RANK(F14,F10:F34,1)</f>
        <v>23</v>
      </c>
    </row>
    <row r="15" spans="2:15" x14ac:dyDescent="0.25">
      <c r="B15" s="12" t="s">
        <v>20</v>
      </c>
      <c r="C15" s="51">
        <v>1333</v>
      </c>
      <c r="D15" s="9">
        <v>681</v>
      </c>
      <c r="E15" s="101">
        <f t="shared" si="0"/>
        <v>51.087771942985746</v>
      </c>
      <c r="F15" s="51">
        <v>1255</v>
      </c>
      <c r="G15" s="9">
        <v>688</v>
      </c>
      <c r="H15" s="7">
        <f t="shared" si="1"/>
        <v>54.820717131474105</v>
      </c>
      <c r="I15" s="51">
        <f t="shared" si="2"/>
        <v>-78</v>
      </c>
      <c r="J15" s="102">
        <f t="shared" si="3"/>
        <v>-5.8514628657164298</v>
      </c>
      <c r="K15" s="9">
        <f t="shared" si="5"/>
        <v>7</v>
      </c>
      <c r="L15" s="7">
        <f t="shared" si="4"/>
        <v>1.0279001468428781</v>
      </c>
      <c r="N15" s="9">
        <f>RANK(F15,F10:F34,0)</f>
        <v>20</v>
      </c>
      <c r="O15" s="9">
        <f>RANK(F15,F10:F34,1)</f>
        <v>6</v>
      </c>
    </row>
    <row r="16" spans="2:15" x14ac:dyDescent="0.25">
      <c r="B16" s="12" t="s">
        <v>21</v>
      </c>
      <c r="C16" s="51">
        <v>1710</v>
      </c>
      <c r="D16" s="9">
        <v>884</v>
      </c>
      <c r="E16" s="101">
        <f t="shared" si="0"/>
        <v>51.695906432748536</v>
      </c>
      <c r="F16" s="51">
        <v>1745</v>
      </c>
      <c r="G16" s="9">
        <v>943</v>
      </c>
      <c r="H16" s="7">
        <f t="shared" si="1"/>
        <v>54.040114613180513</v>
      </c>
      <c r="I16" s="51">
        <f t="shared" si="2"/>
        <v>35</v>
      </c>
      <c r="J16" s="102">
        <f t="shared" si="3"/>
        <v>2.0467836257309941</v>
      </c>
      <c r="K16" s="9">
        <f t="shared" si="5"/>
        <v>59</v>
      </c>
      <c r="L16" s="7">
        <f t="shared" si="4"/>
        <v>6.6742081447963804</v>
      </c>
      <c r="N16" s="9">
        <f>RANK(F16,F10:F34,0)</f>
        <v>17</v>
      </c>
      <c r="O16" s="9">
        <f>RANK(F16,F10:F34,1)</f>
        <v>9</v>
      </c>
    </row>
    <row r="17" spans="2:15" x14ac:dyDescent="0.25">
      <c r="B17" s="12" t="s">
        <v>22</v>
      </c>
      <c r="C17" s="51">
        <v>970</v>
      </c>
      <c r="D17" s="9">
        <v>696</v>
      </c>
      <c r="E17" s="101">
        <f t="shared" si="0"/>
        <v>71.75257731958763</v>
      </c>
      <c r="F17" s="51">
        <v>934</v>
      </c>
      <c r="G17" s="9">
        <v>668</v>
      </c>
      <c r="H17" s="7">
        <f>SUM(G17)/F17*100</f>
        <v>71.520342612419697</v>
      </c>
      <c r="I17" s="51">
        <f t="shared" si="2"/>
        <v>-36</v>
      </c>
      <c r="J17" s="102">
        <f t="shared" si="3"/>
        <v>-3.7113402061855671</v>
      </c>
      <c r="K17" s="9">
        <f t="shared" si="5"/>
        <v>-28</v>
      </c>
      <c r="L17" s="7">
        <f t="shared" si="4"/>
        <v>-4.0229885057471266</v>
      </c>
      <c r="N17" s="9">
        <f>RANK(F17,F10:F34,0)</f>
        <v>23</v>
      </c>
      <c r="O17" s="9">
        <f>RANK(F17,F10:F34,1)</f>
        <v>3</v>
      </c>
    </row>
    <row r="18" spans="2:15" x14ac:dyDescent="0.25">
      <c r="B18" s="12" t="s">
        <v>23</v>
      </c>
      <c r="C18" s="51">
        <v>2296</v>
      </c>
      <c r="D18" s="9">
        <v>1157</v>
      </c>
      <c r="E18" s="101">
        <f t="shared" si="0"/>
        <v>50.391986062717777</v>
      </c>
      <c r="F18" s="51">
        <v>2382</v>
      </c>
      <c r="G18" s="9">
        <v>1107</v>
      </c>
      <c r="H18" s="7">
        <f>SUM(G18)/F18*100</f>
        <v>46.473551637279598</v>
      </c>
      <c r="I18" s="51">
        <f t="shared" si="2"/>
        <v>86</v>
      </c>
      <c r="J18" s="102">
        <f t="shared" si="3"/>
        <v>3.7456445993031355</v>
      </c>
      <c r="K18" s="9">
        <f t="shared" si="5"/>
        <v>-50</v>
      </c>
      <c r="L18" s="7">
        <f t="shared" si="4"/>
        <v>-4.3215211754537597</v>
      </c>
      <c r="N18" s="9">
        <f>RANK(F18,F10:F34,0)</f>
        <v>7</v>
      </c>
      <c r="O18" s="9">
        <f>RANK(F18,F10:F34,1)</f>
        <v>19</v>
      </c>
    </row>
    <row r="19" spans="2:15" x14ac:dyDescent="0.25">
      <c r="B19" s="12" t="s">
        <v>24</v>
      </c>
      <c r="C19" s="51">
        <v>1547</v>
      </c>
      <c r="D19" s="9">
        <v>831</v>
      </c>
      <c r="E19" s="101">
        <f t="shared" si="0"/>
        <v>53.716871363930188</v>
      </c>
      <c r="F19" s="51">
        <v>1447</v>
      </c>
      <c r="G19" s="9">
        <v>808</v>
      </c>
      <c r="H19" s="7">
        <f>SUM(G19)/F19*100</f>
        <v>55.839668279198342</v>
      </c>
      <c r="I19" s="51">
        <f t="shared" si="2"/>
        <v>-100</v>
      </c>
      <c r="J19" s="102">
        <f t="shared" si="3"/>
        <v>-6.4641241111829357</v>
      </c>
      <c r="K19" s="9">
        <f t="shared" si="5"/>
        <v>-23</v>
      </c>
      <c r="L19" s="7">
        <f t="shared" si="4"/>
        <v>-2.7677496991576414</v>
      </c>
      <c r="N19" s="9">
        <f>RANK(F19,F10:F34,0)</f>
        <v>18</v>
      </c>
      <c r="O19" s="9">
        <f>RANK(F19,F10:F34,1)</f>
        <v>8</v>
      </c>
    </row>
    <row r="20" spans="2:15" x14ac:dyDescent="0.25">
      <c r="B20" s="12" t="s">
        <v>25</v>
      </c>
      <c r="C20" s="51">
        <v>2355</v>
      </c>
      <c r="D20" s="9">
        <v>1389</v>
      </c>
      <c r="E20" s="101">
        <f t="shared" si="0"/>
        <v>58.980891719745223</v>
      </c>
      <c r="F20" s="51">
        <v>2137</v>
      </c>
      <c r="G20" s="9">
        <v>1256</v>
      </c>
      <c r="H20" s="7">
        <f t="shared" si="1"/>
        <v>58.773982218062706</v>
      </c>
      <c r="I20" s="51">
        <f t="shared" si="2"/>
        <v>-218</v>
      </c>
      <c r="J20" s="102">
        <f t="shared" si="3"/>
        <v>-9.2569002123142248</v>
      </c>
      <c r="K20" s="9">
        <f t="shared" si="5"/>
        <v>-133</v>
      </c>
      <c r="L20" s="7">
        <f t="shared" si="4"/>
        <v>-9.5752339812814977</v>
      </c>
      <c r="N20" s="9">
        <f>RANK(F20,F10:F34,0)</f>
        <v>11</v>
      </c>
      <c r="O20" s="9">
        <f>RANK(F20,F10:F34,1)</f>
        <v>15</v>
      </c>
    </row>
    <row r="21" spans="2:15" x14ac:dyDescent="0.25">
      <c r="B21" s="12" t="s">
        <v>26</v>
      </c>
      <c r="C21" s="51">
        <v>3078</v>
      </c>
      <c r="D21" s="9">
        <v>1737</v>
      </c>
      <c r="E21" s="101">
        <f t="shared" si="0"/>
        <v>56.432748538011701</v>
      </c>
      <c r="F21" s="51">
        <v>2449</v>
      </c>
      <c r="G21" s="9">
        <v>1558</v>
      </c>
      <c r="H21" s="7">
        <f t="shared" si="1"/>
        <v>63.617803184973454</v>
      </c>
      <c r="I21" s="51">
        <f t="shared" si="2"/>
        <v>-629</v>
      </c>
      <c r="J21" s="102">
        <f t="shared" si="3"/>
        <v>-20.435347628330085</v>
      </c>
      <c r="K21" s="9">
        <f t="shared" si="5"/>
        <v>-179</v>
      </c>
      <c r="L21" s="7">
        <f t="shared" si="4"/>
        <v>-10.305123776626367</v>
      </c>
      <c r="N21" s="9">
        <f>RANK(F21,F10:F34,0)</f>
        <v>6</v>
      </c>
      <c r="O21" s="9">
        <f>RANK(F21,F10:F34,1)</f>
        <v>20</v>
      </c>
    </row>
    <row r="22" spans="2:15" x14ac:dyDescent="0.25">
      <c r="B22" s="12" t="s">
        <v>27</v>
      </c>
      <c r="C22" s="51">
        <v>2044</v>
      </c>
      <c r="D22" s="9">
        <v>1056</v>
      </c>
      <c r="E22" s="101">
        <f t="shared" si="0"/>
        <v>51.663405088062618</v>
      </c>
      <c r="F22" s="51">
        <v>1927</v>
      </c>
      <c r="G22" s="9">
        <v>977</v>
      </c>
      <c r="H22" s="7">
        <f t="shared" si="1"/>
        <v>50.700570835495583</v>
      </c>
      <c r="I22" s="51">
        <f t="shared" si="2"/>
        <v>-117</v>
      </c>
      <c r="J22" s="102">
        <f t="shared" si="3"/>
        <v>-5.7240704500978472</v>
      </c>
      <c r="K22" s="9">
        <f t="shared" si="5"/>
        <v>-79</v>
      </c>
      <c r="L22" s="7">
        <f t="shared" si="4"/>
        <v>-7.4810606060606064</v>
      </c>
      <c r="N22" s="9">
        <f>RANK(F22,F10:F34,0)</f>
        <v>13</v>
      </c>
      <c r="O22" s="9">
        <f>RANK(F22,F10:F34,1)</f>
        <v>13</v>
      </c>
    </row>
    <row r="23" spans="2:15" x14ac:dyDescent="0.25">
      <c r="B23" s="17" t="s">
        <v>28</v>
      </c>
      <c r="C23" s="51">
        <v>2153</v>
      </c>
      <c r="D23" s="9">
        <v>1092</v>
      </c>
      <c r="E23" s="101">
        <f t="shared" si="0"/>
        <v>50.719925685090573</v>
      </c>
      <c r="F23" s="51">
        <v>1829</v>
      </c>
      <c r="G23" s="9">
        <v>955</v>
      </c>
      <c r="H23" s="7">
        <f t="shared" si="1"/>
        <v>52.214324767632583</v>
      </c>
      <c r="I23" s="51">
        <f t="shared" si="2"/>
        <v>-324</v>
      </c>
      <c r="J23" s="102">
        <f t="shared" si="3"/>
        <v>-15.048769159312586</v>
      </c>
      <c r="K23" s="9">
        <f t="shared" si="5"/>
        <v>-137</v>
      </c>
      <c r="L23" s="7">
        <f t="shared" si="4"/>
        <v>-12.545787545787546</v>
      </c>
      <c r="N23" s="9">
        <f>RANK(F23,F10:F34,0)</f>
        <v>15</v>
      </c>
      <c r="O23" s="9">
        <f>RANK(F23,F10:F34,1)</f>
        <v>11</v>
      </c>
    </row>
    <row r="24" spans="2:15" x14ac:dyDescent="0.25">
      <c r="B24" s="17" t="s">
        <v>29</v>
      </c>
      <c r="C24" s="51">
        <v>2559</v>
      </c>
      <c r="D24" s="9">
        <v>1487</v>
      </c>
      <c r="E24" s="101">
        <f t="shared" si="0"/>
        <v>58.108636186010166</v>
      </c>
      <c r="F24" s="51">
        <v>2726</v>
      </c>
      <c r="G24" s="9">
        <v>1579</v>
      </c>
      <c r="H24" s="7">
        <f t="shared" si="1"/>
        <v>57.92369772560528</v>
      </c>
      <c r="I24" s="51">
        <f t="shared" si="2"/>
        <v>167</v>
      </c>
      <c r="J24" s="102">
        <f t="shared" si="3"/>
        <v>6.5259867135599849</v>
      </c>
      <c r="K24" s="9">
        <f t="shared" si="5"/>
        <v>92</v>
      </c>
      <c r="L24" s="7">
        <f t="shared" si="4"/>
        <v>6.1869535978480164</v>
      </c>
      <c r="N24" s="9">
        <f>RANK(F24,F10:F34,0)</f>
        <v>5</v>
      </c>
      <c r="O24" s="9">
        <f>RANK(F24,F10:F34,1)</f>
        <v>21</v>
      </c>
    </row>
    <row r="25" spans="2:15" x14ac:dyDescent="0.25">
      <c r="B25" s="17" t="s">
        <v>30</v>
      </c>
      <c r="C25" s="51">
        <v>2004</v>
      </c>
      <c r="D25" s="9">
        <v>1276</v>
      </c>
      <c r="E25" s="101">
        <f t="shared" si="0"/>
        <v>63.672654690618756</v>
      </c>
      <c r="F25" s="51">
        <v>2073</v>
      </c>
      <c r="G25" s="9">
        <v>1186</v>
      </c>
      <c r="H25" s="7">
        <f t="shared" si="1"/>
        <v>57.211770381090211</v>
      </c>
      <c r="I25" s="51">
        <f t="shared" si="2"/>
        <v>69</v>
      </c>
      <c r="J25" s="102">
        <f t="shared" si="3"/>
        <v>3.44311377245509</v>
      </c>
      <c r="K25" s="9">
        <f t="shared" si="5"/>
        <v>-90</v>
      </c>
      <c r="L25" s="7">
        <f t="shared" si="4"/>
        <v>-7.053291536050156</v>
      </c>
      <c r="N25" s="9">
        <f>RANK(F25,F10:F34,0)</f>
        <v>12</v>
      </c>
      <c r="O25" s="9">
        <f>RANK(F25,F10:F34,1)</f>
        <v>14</v>
      </c>
    </row>
    <row r="26" spans="2:15" x14ac:dyDescent="0.25">
      <c r="B26" s="17" t="s">
        <v>31</v>
      </c>
      <c r="C26" s="51">
        <v>3256</v>
      </c>
      <c r="D26" s="9">
        <v>2079</v>
      </c>
      <c r="E26" s="101">
        <f t="shared" si="0"/>
        <v>63.851351351351347</v>
      </c>
      <c r="F26" s="51">
        <v>2938</v>
      </c>
      <c r="G26" s="9">
        <v>1817</v>
      </c>
      <c r="H26" s="7">
        <f t="shared" si="1"/>
        <v>61.84479237576582</v>
      </c>
      <c r="I26" s="51">
        <f t="shared" si="2"/>
        <v>-318</v>
      </c>
      <c r="J26" s="102">
        <f t="shared" si="3"/>
        <v>-9.7665847665847672</v>
      </c>
      <c r="K26" s="9">
        <f t="shared" si="5"/>
        <v>-262</v>
      </c>
      <c r="L26" s="7">
        <f t="shared" si="4"/>
        <v>-12.602212602212603</v>
      </c>
      <c r="N26" s="9">
        <f>RANK(F26,F10:F34,0)</f>
        <v>4</v>
      </c>
      <c r="O26" s="9">
        <f>RANK(F26,F10:F34,1)</f>
        <v>22</v>
      </c>
    </row>
    <row r="27" spans="2:15" x14ac:dyDescent="0.25">
      <c r="B27" s="17" t="s">
        <v>32</v>
      </c>
      <c r="C27" s="51">
        <v>1773</v>
      </c>
      <c r="D27" s="9">
        <v>1096</v>
      </c>
      <c r="E27" s="101">
        <f t="shared" si="0"/>
        <v>61.816130851663843</v>
      </c>
      <c r="F27" s="51">
        <v>1770</v>
      </c>
      <c r="G27" s="9">
        <v>1112</v>
      </c>
      <c r="H27" s="7">
        <f t="shared" si="1"/>
        <v>62.824858757062152</v>
      </c>
      <c r="I27" s="51">
        <f t="shared" si="2"/>
        <v>-3</v>
      </c>
      <c r="J27" s="102">
        <f t="shared" si="3"/>
        <v>-0.16920473773265651</v>
      </c>
      <c r="K27" s="9">
        <f t="shared" si="5"/>
        <v>16</v>
      </c>
      <c r="L27" s="7">
        <f t="shared" si="4"/>
        <v>1.4598540145985401</v>
      </c>
      <c r="N27" s="9">
        <f>RANK(F27,F10:F34,0)</f>
        <v>16</v>
      </c>
      <c r="O27" s="9">
        <f>RANK(F27,F10:F34,1)</f>
        <v>10</v>
      </c>
    </row>
    <row r="28" spans="2:15" x14ac:dyDescent="0.25">
      <c r="B28" s="17" t="s">
        <v>33</v>
      </c>
      <c r="C28" s="51">
        <v>2192</v>
      </c>
      <c r="D28" s="9">
        <v>1181</v>
      </c>
      <c r="E28" s="101">
        <f t="shared" si="0"/>
        <v>53.877737226277368</v>
      </c>
      <c r="F28" s="51">
        <v>1868</v>
      </c>
      <c r="G28" s="9">
        <v>1051</v>
      </c>
      <c r="H28" s="7">
        <f t="shared" si="1"/>
        <v>56.263383297644545</v>
      </c>
      <c r="I28" s="51">
        <f t="shared" si="2"/>
        <v>-324</v>
      </c>
      <c r="J28" s="102">
        <f t="shared" si="3"/>
        <v>-14.78102189781022</v>
      </c>
      <c r="K28" s="9">
        <f t="shared" si="5"/>
        <v>-130</v>
      </c>
      <c r="L28" s="7">
        <f t="shared" si="4"/>
        <v>-11.00762066045724</v>
      </c>
      <c r="N28" s="9">
        <f>RANK(F28,F10:F34,0)</f>
        <v>14</v>
      </c>
      <c r="O28" s="9">
        <f>RANK(F28,F10:F34,1)</f>
        <v>12</v>
      </c>
    </row>
    <row r="29" spans="2:15" x14ac:dyDescent="0.25">
      <c r="B29" s="17" t="s">
        <v>34</v>
      </c>
      <c r="C29" s="51">
        <v>2110</v>
      </c>
      <c r="D29" s="9">
        <v>1255</v>
      </c>
      <c r="E29" s="101">
        <f t="shared" si="0"/>
        <v>59.478672985781991</v>
      </c>
      <c r="F29" s="51">
        <v>2196</v>
      </c>
      <c r="G29" s="9">
        <v>1269</v>
      </c>
      <c r="H29" s="7">
        <f t="shared" si="1"/>
        <v>57.786885245901644</v>
      </c>
      <c r="I29" s="51">
        <f t="shared" si="2"/>
        <v>86</v>
      </c>
      <c r="J29" s="102">
        <f t="shared" si="3"/>
        <v>4.0758293838862558</v>
      </c>
      <c r="K29" s="9">
        <f t="shared" si="5"/>
        <v>14</v>
      </c>
      <c r="L29" s="7">
        <f t="shared" si="4"/>
        <v>1.1155378486055778</v>
      </c>
      <c r="N29" s="9">
        <f>RANK(F29,F10:F34,0)</f>
        <v>10</v>
      </c>
      <c r="O29" s="9">
        <f>RANK(F29,F10:F34,1)</f>
        <v>16</v>
      </c>
    </row>
    <row r="30" spans="2:15" x14ac:dyDescent="0.25">
      <c r="B30" s="17" t="s">
        <v>35</v>
      </c>
      <c r="C30" s="51">
        <v>1216</v>
      </c>
      <c r="D30" s="9">
        <v>788</v>
      </c>
      <c r="E30" s="101">
        <f t="shared" si="0"/>
        <v>64.80263157894737</v>
      </c>
      <c r="F30" s="51">
        <v>1130</v>
      </c>
      <c r="G30" s="9">
        <v>711</v>
      </c>
      <c r="H30" s="7">
        <f t="shared" si="1"/>
        <v>62.920353982300881</v>
      </c>
      <c r="I30" s="51">
        <f t="shared" si="2"/>
        <v>-86</v>
      </c>
      <c r="J30" s="102">
        <f t="shared" si="3"/>
        <v>-7.072368421052631</v>
      </c>
      <c r="K30" s="9">
        <f t="shared" si="5"/>
        <v>-77</v>
      </c>
      <c r="L30" s="7">
        <f t="shared" si="4"/>
        <v>-9.7715736040609134</v>
      </c>
      <c r="N30" s="9">
        <f>RANK(F30,F10:F34,0)</f>
        <v>21</v>
      </c>
      <c r="O30" s="9">
        <f>RANK(F30,F10:F34,1)</f>
        <v>5</v>
      </c>
    </row>
    <row r="31" spans="2:15" x14ac:dyDescent="0.25">
      <c r="B31" s="17" t="s">
        <v>271</v>
      </c>
      <c r="C31" s="51">
        <v>646</v>
      </c>
      <c r="D31" s="9">
        <v>326</v>
      </c>
      <c r="E31" s="101">
        <f t="shared" si="0"/>
        <v>50.464396284829725</v>
      </c>
      <c r="F31" s="51">
        <v>699</v>
      </c>
      <c r="G31" s="9">
        <v>363</v>
      </c>
      <c r="H31" s="7">
        <f t="shared" si="1"/>
        <v>51.931330472102999</v>
      </c>
      <c r="I31" s="51">
        <f t="shared" si="2"/>
        <v>53</v>
      </c>
      <c r="J31" s="102">
        <f t="shared" si="3"/>
        <v>8.204334365325078</v>
      </c>
      <c r="K31" s="9">
        <f t="shared" si="5"/>
        <v>37</v>
      </c>
      <c r="L31" s="7">
        <f t="shared" si="4"/>
        <v>11.349693251533742</v>
      </c>
      <c r="N31" s="9">
        <f>RANK(F31,F10:F34,0)</f>
        <v>25</v>
      </c>
      <c r="O31" s="9">
        <f>RANK(F31,F10:F34,1)</f>
        <v>1</v>
      </c>
    </row>
    <row r="32" spans="2:15" x14ac:dyDescent="0.25">
      <c r="B32" s="17" t="s">
        <v>272</v>
      </c>
      <c r="C32" s="51">
        <v>1578</v>
      </c>
      <c r="D32" s="9">
        <v>809</v>
      </c>
      <c r="E32" s="101">
        <f t="shared" si="0"/>
        <v>51.267427122940433</v>
      </c>
      <c r="F32" s="51">
        <v>1320</v>
      </c>
      <c r="G32" s="9">
        <v>694</v>
      </c>
      <c r="H32" s="7">
        <f t="shared" si="1"/>
        <v>52.575757575757578</v>
      </c>
      <c r="I32" s="51">
        <f t="shared" si="2"/>
        <v>-258</v>
      </c>
      <c r="J32" s="102">
        <f t="shared" si="3"/>
        <v>-16.34980988593156</v>
      </c>
      <c r="K32" s="9">
        <f t="shared" si="5"/>
        <v>-115</v>
      </c>
      <c r="L32" s="7">
        <f t="shared" si="4"/>
        <v>-14.215080346106305</v>
      </c>
      <c r="N32" s="9">
        <f>RANK(F32,F10:F34,0)</f>
        <v>19</v>
      </c>
      <c r="O32" s="9">
        <f>RANK(F32,F10:F34,1)</f>
        <v>7</v>
      </c>
    </row>
    <row r="33" spans="2:15" x14ac:dyDescent="0.25">
      <c r="B33" s="17" t="s">
        <v>273</v>
      </c>
      <c r="C33" s="51">
        <v>3600</v>
      </c>
      <c r="D33" s="9">
        <v>2264</v>
      </c>
      <c r="E33" s="101">
        <f t="shared" si="0"/>
        <v>62.888888888888893</v>
      </c>
      <c r="F33" s="51">
        <v>3271</v>
      </c>
      <c r="G33" s="9">
        <v>1993</v>
      </c>
      <c r="H33" s="7">
        <f t="shared" si="1"/>
        <v>60.929379394680524</v>
      </c>
      <c r="I33" s="51">
        <f t="shared" si="2"/>
        <v>-329</v>
      </c>
      <c r="J33" s="102">
        <f t="shared" si="3"/>
        <v>-9.1388888888888893</v>
      </c>
      <c r="K33" s="9">
        <f t="shared" si="5"/>
        <v>-271</v>
      </c>
      <c r="L33" s="7">
        <f t="shared" si="4"/>
        <v>-11.969964664310954</v>
      </c>
      <c r="N33" s="9">
        <f>RANK(F33,F10:F34,0)</f>
        <v>2</v>
      </c>
      <c r="O33" s="9">
        <f>RANK(F33,F10:F34,1)</f>
        <v>24</v>
      </c>
    </row>
    <row r="34" spans="2:15" ht="15.75" thickBot="1" x14ac:dyDescent="0.3">
      <c r="B34" s="18" t="s">
        <v>274</v>
      </c>
      <c r="C34" s="3">
        <v>1129</v>
      </c>
      <c r="D34" s="5">
        <v>653</v>
      </c>
      <c r="E34" s="103">
        <f t="shared" si="0"/>
        <v>57.838795394154118</v>
      </c>
      <c r="F34" s="3">
        <v>962</v>
      </c>
      <c r="G34" s="5">
        <v>564</v>
      </c>
      <c r="H34" s="8">
        <f t="shared" si="1"/>
        <v>58.627858627858629</v>
      </c>
      <c r="I34" s="3">
        <f t="shared" si="2"/>
        <v>-167</v>
      </c>
      <c r="J34" s="48">
        <f t="shared" si="3"/>
        <v>-14.791851195748452</v>
      </c>
      <c r="K34" s="5">
        <f t="shared" si="5"/>
        <v>-89</v>
      </c>
      <c r="L34" s="8">
        <f t="shared" si="4"/>
        <v>-13.629402756508421</v>
      </c>
      <c r="N34" s="5">
        <f>RANK(F34,F10:F34,0)</f>
        <v>22</v>
      </c>
      <c r="O34" s="5">
        <f>RANK(F34,F10:F34,1)</f>
        <v>4</v>
      </c>
    </row>
  </sheetData>
  <mergeCells count="11">
    <mergeCell ref="B5:B8"/>
    <mergeCell ref="C7:C8"/>
    <mergeCell ref="C5:L5"/>
    <mergeCell ref="F6:H6"/>
    <mergeCell ref="C6:E6"/>
    <mergeCell ref="I6:L6"/>
    <mergeCell ref="F7:F8"/>
    <mergeCell ref="G7:H7"/>
    <mergeCell ref="D7:E7"/>
    <mergeCell ref="I7:J7"/>
    <mergeCell ref="K7:L7"/>
  </mergeCells>
  <pageMargins left="1.299212598425197" right="0" top="0.6692913385826772" bottom="0" header="0" footer="0"/>
  <pageSetup paperSize="9" scale="8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0.59999389629810485"/>
  </sheetPr>
  <dimension ref="B2:L37"/>
  <sheetViews>
    <sheetView zoomScale="80" zoomScaleNormal="80" workbookViewId="0">
      <selection activeCell="B1" sqref="B1"/>
    </sheetView>
  </sheetViews>
  <sheetFormatPr defaultColWidth="9.140625" defaultRowHeight="15" x14ac:dyDescent="0.25"/>
  <cols>
    <col min="1" max="1" width="2.28515625" style="78" customWidth="1"/>
    <col min="2" max="2" width="36.7109375" style="78" customWidth="1"/>
    <col min="3" max="3" width="10.5703125" style="78" customWidth="1"/>
    <col min="4" max="4" width="10.7109375" style="78" customWidth="1"/>
    <col min="5" max="5" width="10.5703125" style="78" customWidth="1"/>
    <col min="6" max="6" width="10.28515625" style="78" customWidth="1"/>
    <col min="7" max="7" width="14" style="78" customWidth="1"/>
    <col min="8" max="8" width="9" style="78" customWidth="1"/>
    <col min="9" max="9" width="2.42578125" style="78" customWidth="1"/>
    <col min="10" max="10" width="5.140625" style="298" customWidth="1"/>
    <col min="11" max="11" width="24" style="78" customWidth="1"/>
    <col min="12" max="12" width="25.28515625" style="375" customWidth="1"/>
    <col min="13" max="16384" width="9.140625" style="78"/>
  </cols>
  <sheetData>
    <row r="2" spans="2:12" x14ac:dyDescent="0.25">
      <c r="B2" s="11" t="s">
        <v>252</v>
      </c>
      <c r="C2" s="11"/>
      <c r="D2" s="11"/>
      <c r="E2" s="11"/>
      <c r="F2" s="11"/>
      <c r="G2" s="11"/>
      <c r="H2" s="11"/>
      <c r="I2" s="11"/>
    </row>
    <row r="3" spans="2:12" x14ac:dyDescent="0.25">
      <c r="B3" s="11" t="s">
        <v>362</v>
      </c>
      <c r="C3" s="11"/>
      <c r="D3" s="11"/>
      <c r="E3" s="11"/>
      <c r="F3" s="11"/>
      <c r="G3" s="11"/>
      <c r="H3" s="11"/>
      <c r="I3" s="11"/>
    </row>
    <row r="4" spans="2:12" ht="9.75" customHeight="1" thickBot="1" x14ac:dyDescent="0.3">
      <c r="B4" s="11"/>
      <c r="C4" s="11"/>
      <c r="D4" s="11"/>
      <c r="E4" s="11"/>
      <c r="F4" s="11"/>
      <c r="G4" s="11"/>
      <c r="H4" s="11"/>
      <c r="I4" s="11"/>
    </row>
    <row r="5" spans="2:12" ht="24" customHeight="1" x14ac:dyDescent="0.25">
      <c r="B5" s="931" t="s">
        <v>147</v>
      </c>
      <c r="C5" s="947" t="s">
        <v>413</v>
      </c>
      <c r="D5" s="947"/>
      <c r="E5" s="945" t="s">
        <v>491</v>
      </c>
      <c r="F5" s="946"/>
      <c r="G5" s="948" t="s">
        <v>149</v>
      </c>
      <c r="H5" s="950" t="s">
        <v>414</v>
      </c>
      <c r="I5" s="401"/>
    </row>
    <row r="6" spans="2:12" ht="30.75" thickBot="1" x14ac:dyDescent="0.3">
      <c r="B6" s="944"/>
      <c r="C6" s="703" t="s">
        <v>4</v>
      </c>
      <c r="D6" s="703" t="s">
        <v>94</v>
      </c>
      <c r="E6" s="704" t="s">
        <v>4</v>
      </c>
      <c r="F6" s="705" t="s">
        <v>94</v>
      </c>
      <c r="G6" s="949"/>
      <c r="H6" s="917"/>
      <c r="I6" s="401"/>
    </row>
    <row r="7" spans="2:12" ht="39.75" customHeight="1" thickBot="1" x14ac:dyDescent="0.3">
      <c r="B7" s="206" t="s">
        <v>307</v>
      </c>
      <c r="C7" s="167">
        <f>SUM(C12:C36)</f>
        <v>9704</v>
      </c>
      <c r="D7" s="167">
        <f>SUM(D12:D36)</f>
        <v>5321</v>
      </c>
      <c r="E7" s="44">
        <f>SUM(E12:E36)</f>
        <v>9522</v>
      </c>
      <c r="F7" s="46">
        <f>SUM(F12:F36)</f>
        <v>5062</v>
      </c>
      <c r="G7" s="169">
        <f>SUM(E7-C7)</f>
        <v>-182</v>
      </c>
      <c r="H7" s="45">
        <f>(E7-C7)*100/C7</f>
        <v>-1.875515251442704</v>
      </c>
      <c r="I7" s="406"/>
      <c r="K7" s="302"/>
    </row>
    <row r="8" spans="2:12" ht="24.75" customHeight="1" x14ac:dyDescent="0.25">
      <c r="B8" s="115" t="s">
        <v>145</v>
      </c>
      <c r="C8" s="105">
        <v>10345</v>
      </c>
      <c r="D8" s="105">
        <v>5454</v>
      </c>
      <c r="E8" s="31">
        <v>10162</v>
      </c>
      <c r="F8" s="345">
        <v>5242</v>
      </c>
      <c r="G8" s="104">
        <f>SUM(E8-C8)</f>
        <v>-183</v>
      </c>
      <c r="H8" s="32">
        <f>(E8-C8)*100/C8</f>
        <v>-1.7689705171580474</v>
      </c>
      <c r="I8" s="407"/>
      <c r="K8" s="298"/>
      <c r="L8" s="411"/>
    </row>
    <row r="9" spans="2:12" ht="35.25" customHeight="1" x14ac:dyDescent="0.25">
      <c r="B9" s="116" t="s">
        <v>144</v>
      </c>
      <c r="C9" s="22">
        <v>1341</v>
      </c>
      <c r="D9" s="22">
        <v>740</v>
      </c>
      <c r="E9" s="458">
        <v>1420</v>
      </c>
      <c r="F9" s="459">
        <v>701</v>
      </c>
      <c r="G9" s="117">
        <f>SUM(E9-C9)</f>
        <v>79</v>
      </c>
      <c r="H9" s="118">
        <f>(E9-C9)*100/C9</f>
        <v>5.8911260253542137</v>
      </c>
      <c r="I9" s="407"/>
      <c r="K9" s="298"/>
      <c r="L9" s="411"/>
    </row>
    <row r="10" spans="2:12" ht="28.5" customHeight="1" thickBot="1" x14ac:dyDescent="0.3">
      <c r="B10" s="460" t="s">
        <v>438</v>
      </c>
      <c r="C10" s="20">
        <v>76</v>
      </c>
      <c r="D10" s="20">
        <v>54</v>
      </c>
      <c r="E10" s="19">
        <v>66</v>
      </c>
      <c r="F10" s="290">
        <v>43</v>
      </c>
      <c r="G10" s="89">
        <f>SUM(E10-C10)</f>
        <v>-10</v>
      </c>
      <c r="H10" s="27">
        <f>(E10-C10)*100/C10</f>
        <v>-13.157894736842104</v>
      </c>
      <c r="I10" s="407"/>
      <c r="K10" s="298"/>
      <c r="L10" s="411"/>
    </row>
    <row r="11" spans="2:12" ht="18" customHeight="1" thickBot="1" x14ac:dyDescent="0.3">
      <c r="B11" s="941" t="s">
        <v>148</v>
      </c>
      <c r="C11" s="942"/>
      <c r="D11" s="942"/>
      <c r="E11" s="942"/>
      <c r="F11" s="942"/>
      <c r="G11" s="942"/>
      <c r="H11" s="943"/>
      <c r="I11" s="408"/>
    </row>
    <row r="12" spans="2:12" ht="15.75" customHeight="1" x14ac:dyDescent="0.25">
      <c r="B12" s="54" t="s">
        <v>15</v>
      </c>
      <c r="C12" s="105">
        <v>153</v>
      </c>
      <c r="D12" s="105">
        <v>75</v>
      </c>
      <c r="E12" s="37">
        <v>115</v>
      </c>
      <c r="F12" s="288">
        <v>49</v>
      </c>
      <c r="G12" s="104">
        <f t="shared" ref="G12:G36" si="0">SUM(E12-C12)</f>
        <v>-38</v>
      </c>
      <c r="H12" s="412">
        <f t="shared" ref="H12:H36" si="1">(E12-C12)*100/C12</f>
        <v>-24.836601307189543</v>
      </c>
      <c r="I12" s="409"/>
      <c r="J12" s="410">
        <f>RANK(H12,$H$12:$H$36,1)+COUNTIF($H$12:H12,H12)-1</f>
        <v>2</v>
      </c>
      <c r="K12" s="78" t="str">
        <f>INDEX(B12:H36,MATCH(1,J12:J36,0),1)</f>
        <v>Tarnobrzeg</v>
      </c>
      <c r="L12" s="411">
        <f>INDEX(B12:H36,MATCH(1,J12:J36,0),7)</f>
        <v>-34.693877551020407</v>
      </c>
    </row>
    <row r="13" spans="2:12" x14ac:dyDescent="0.25">
      <c r="B13" s="12" t="s">
        <v>16</v>
      </c>
      <c r="C13" s="14">
        <v>634</v>
      </c>
      <c r="D13" s="14">
        <v>317</v>
      </c>
      <c r="E13" s="13">
        <v>543</v>
      </c>
      <c r="F13" s="289">
        <v>255</v>
      </c>
      <c r="G13" s="88">
        <f t="shared" si="0"/>
        <v>-91</v>
      </c>
      <c r="H13" s="106">
        <f t="shared" si="1"/>
        <v>-14.353312302839116</v>
      </c>
      <c r="I13" s="409"/>
      <c r="J13" s="410">
        <f>RANK(H13,$H$12:$H$36,1)+COUNTIF($H$13:H13,H13)-1</f>
        <v>4</v>
      </c>
      <c r="K13" s="78" t="str">
        <f>INDEX(B12:H36,MATCH(2,J12:J36,0),1)</f>
        <v>bieszczadzki</v>
      </c>
      <c r="L13" s="411">
        <f>INDEX(B12:H36,MATCH(2,J12:J36,0),7)</f>
        <v>-24.836601307189543</v>
      </c>
    </row>
    <row r="14" spans="2:12" x14ac:dyDescent="0.25">
      <c r="B14" s="12" t="s">
        <v>17</v>
      </c>
      <c r="C14" s="14">
        <v>348</v>
      </c>
      <c r="D14" s="14">
        <v>226</v>
      </c>
      <c r="E14" s="13">
        <v>413</v>
      </c>
      <c r="F14" s="289">
        <v>237</v>
      </c>
      <c r="G14" s="88">
        <f t="shared" si="0"/>
        <v>65</v>
      </c>
      <c r="H14" s="106">
        <f t="shared" si="1"/>
        <v>18.678160919540229</v>
      </c>
      <c r="I14" s="409"/>
      <c r="J14" s="410">
        <f>RANK(H14,$H$12:$H$36,1)+COUNTIF($H$14:H14,H14)-1</f>
        <v>23</v>
      </c>
      <c r="K14" s="78" t="str">
        <f>INDEX(B12:H36,MATCH(3,J12:J36,0),1)</f>
        <v>jarosławski</v>
      </c>
      <c r="L14" s="411">
        <f>INDEX(B12:H36,MATCH(3,J12:J36,0),7)</f>
        <v>-18.963165075034105</v>
      </c>
    </row>
    <row r="15" spans="2:12" x14ac:dyDescent="0.25">
      <c r="B15" s="12" t="s">
        <v>18</v>
      </c>
      <c r="C15" s="14">
        <v>733</v>
      </c>
      <c r="D15" s="14">
        <v>419</v>
      </c>
      <c r="E15" s="13">
        <v>594</v>
      </c>
      <c r="F15" s="289">
        <v>321</v>
      </c>
      <c r="G15" s="88">
        <f t="shared" si="0"/>
        <v>-139</v>
      </c>
      <c r="H15" s="106">
        <f t="shared" si="1"/>
        <v>-18.963165075034105</v>
      </c>
      <c r="I15" s="409"/>
      <c r="J15" s="410">
        <f>RANK(H15,$H$12:$H$36,1)+COUNTIF($H$15:H15,H15)-1</f>
        <v>3</v>
      </c>
      <c r="K15" s="78" t="str">
        <f>INDEX(B12:H36,MATCH(4,J12:J36,0),1)</f>
        <v>brzozowski</v>
      </c>
      <c r="L15" s="411">
        <f>INDEX(B12:H36,MATCH(4,J12:J36,0),7)</f>
        <v>-14.353312302839116</v>
      </c>
    </row>
    <row r="16" spans="2:12" x14ac:dyDescent="0.25">
      <c r="B16" s="12" t="s">
        <v>19</v>
      </c>
      <c r="C16" s="14">
        <v>594</v>
      </c>
      <c r="D16" s="14">
        <v>323</v>
      </c>
      <c r="E16" s="13">
        <v>668</v>
      </c>
      <c r="F16" s="289">
        <v>355</v>
      </c>
      <c r="G16" s="88">
        <f>SUM(E16-C16)</f>
        <v>74</v>
      </c>
      <c r="H16" s="106">
        <f t="shared" si="1"/>
        <v>12.457912457912458</v>
      </c>
      <c r="I16" s="409"/>
      <c r="J16" s="410">
        <f>RANK(H16,$H$12:$H$36,1)+COUNTIF($H$16:H16,H16)-1</f>
        <v>19</v>
      </c>
      <c r="K16" s="78" t="str">
        <f>INDEX(B12:H36,MATCH(5,J12:J36,0),1)</f>
        <v>stalowowolski</v>
      </c>
      <c r="L16" s="411">
        <f>INDEX(B12:H36,MATCH(5,J12:J36,0),7)</f>
        <v>-12.080536912751677</v>
      </c>
    </row>
    <row r="17" spans="2:12" x14ac:dyDescent="0.25">
      <c r="B17" s="12" t="s">
        <v>20</v>
      </c>
      <c r="C17" s="14">
        <v>237</v>
      </c>
      <c r="D17" s="14">
        <v>137</v>
      </c>
      <c r="E17" s="13">
        <v>220</v>
      </c>
      <c r="F17" s="289">
        <v>103</v>
      </c>
      <c r="G17" s="88">
        <f>SUM(E17-C17)</f>
        <v>-17</v>
      </c>
      <c r="H17" s="106">
        <f t="shared" si="1"/>
        <v>-7.1729957805907176</v>
      </c>
      <c r="I17" s="409"/>
      <c r="J17" s="410">
        <f>RANK(H17,$H$12:$H$36,1)+COUNTIF($H$17:H17,H17)-1</f>
        <v>10</v>
      </c>
      <c r="K17" s="78" t="str">
        <f>INDEX(B12:H36,MATCH(6,J12:J36,0),1)</f>
        <v>łańcucki</v>
      </c>
      <c r="L17" s="411">
        <f>INDEX(B12:H36,MATCH(6,J12:J36,0),7)</f>
        <v>-10.854092526690392</v>
      </c>
    </row>
    <row r="18" spans="2:12" x14ac:dyDescent="0.25">
      <c r="B18" s="12" t="s">
        <v>21</v>
      </c>
      <c r="C18" s="14">
        <v>248</v>
      </c>
      <c r="D18" s="14">
        <v>149</v>
      </c>
      <c r="E18" s="13">
        <v>309</v>
      </c>
      <c r="F18" s="289">
        <v>185</v>
      </c>
      <c r="G18" s="88">
        <f t="shared" si="0"/>
        <v>61</v>
      </c>
      <c r="H18" s="106">
        <f t="shared" si="1"/>
        <v>24.596774193548388</v>
      </c>
      <c r="I18" s="409"/>
      <c r="J18" s="410">
        <f>RANK(H18,$H$12:$H$36,1)+COUNTIF($H$18:H18,H18)-1</f>
        <v>24</v>
      </c>
      <c r="K18" s="78" t="str">
        <f>INDEX(B12:H36,MATCH(7,J12:J36,0),1)</f>
        <v>ropczycko-sędziszowski</v>
      </c>
      <c r="L18" s="411">
        <f>INDEX(B12:H36,MATCH(7,J12:J36,0),7)</f>
        <v>-9.8696461824953445</v>
      </c>
    </row>
    <row r="19" spans="2:12" x14ac:dyDescent="0.25">
      <c r="B19" s="12" t="s">
        <v>22</v>
      </c>
      <c r="C19" s="14">
        <v>221</v>
      </c>
      <c r="D19" s="14">
        <v>107</v>
      </c>
      <c r="E19" s="13">
        <v>200</v>
      </c>
      <c r="F19" s="289">
        <v>119</v>
      </c>
      <c r="G19" s="88">
        <f t="shared" si="0"/>
        <v>-21</v>
      </c>
      <c r="H19" s="106">
        <f t="shared" si="1"/>
        <v>-9.502262443438914</v>
      </c>
      <c r="I19" s="409"/>
      <c r="J19" s="410">
        <f>RANK(H19,$H$12:$H$36,1)+COUNTIF($H$19:H19,H19)-1</f>
        <v>9</v>
      </c>
      <c r="K19" s="78" t="str">
        <f>INDEX(B12:H36,MATCH(8,J12:J36,0),1)</f>
        <v>leżajski</v>
      </c>
      <c r="L19" s="411">
        <f>INDEX(B12:H36,MATCH(8,J12:J36,0),7)</f>
        <v>-9.7510373443983411</v>
      </c>
    </row>
    <row r="20" spans="2:12" x14ac:dyDescent="0.25">
      <c r="B20" s="12" t="s">
        <v>23</v>
      </c>
      <c r="C20" s="14">
        <v>482</v>
      </c>
      <c r="D20" s="14">
        <v>242</v>
      </c>
      <c r="E20" s="13">
        <v>435</v>
      </c>
      <c r="F20" s="289">
        <v>219</v>
      </c>
      <c r="G20" s="88">
        <f t="shared" si="0"/>
        <v>-47</v>
      </c>
      <c r="H20" s="106">
        <f t="shared" si="1"/>
        <v>-9.7510373443983411</v>
      </c>
      <c r="I20" s="409"/>
      <c r="J20" s="410">
        <f>RANK(H20,$H$12:$H$36,1)+COUNTIF($H$20:H20,H20)-1</f>
        <v>8</v>
      </c>
      <c r="K20" s="78" t="str">
        <f>INDEX(B12:H36,MATCH(9,J12:J36,0),1)</f>
        <v>leski</v>
      </c>
      <c r="L20" s="411">
        <f>INDEX(B12:H36,MATCH(9,J12:J36,0),7)</f>
        <v>-9.502262443438914</v>
      </c>
    </row>
    <row r="21" spans="2:12" x14ac:dyDescent="0.25">
      <c r="B21" s="12" t="s">
        <v>24</v>
      </c>
      <c r="C21" s="14">
        <v>182</v>
      </c>
      <c r="D21" s="14">
        <v>68</v>
      </c>
      <c r="E21" s="13">
        <v>213</v>
      </c>
      <c r="F21" s="289">
        <v>91</v>
      </c>
      <c r="G21" s="88">
        <f t="shared" si="0"/>
        <v>31</v>
      </c>
      <c r="H21" s="106">
        <f t="shared" si="1"/>
        <v>17.032967032967033</v>
      </c>
      <c r="I21" s="409"/>
      <c r="J21" s="410">
        <f>RANK(H21,$H$12:$H$36,1)+COUNTIF($H$21:H21,H21)-1</f>
        <v>21</v>
      </c>
      <c r="K21" s="78" t="str">
        <f>INDEX(B12:H36,MATCH(10,J12:J36,0),1)</f>
        <v>kolbuszowski</v>
      </c>
      <c r="L21" s="411">
        <f>INDEX(B12:H36,MATCH(10,J12:J36,0),7)</f>
        <v>-7.1729957805907176</v>
      </c>
    </row>
    <row r="22" spans="2:12" x14ac:dyDescent="0.25">
      <c r="B22" s="12" t="s">
        <v>25</v>
      </c>
      <c r="C22" s="14">
        <v>562</v>
      </c>
      <c r="D22" s="14">
        <v>319</v>
      </c>
      <c r="E22" s="13">
        <v>501</v>
      </c>
      <c r="F22" s="289">
        <v>277</v>
      </c>
      <c r="G22" s="88">
        <f t="shared" si="0"/>
        <v>-61</v>
      </c>
      <c r="H22" s="106">
        <f t="shared" si="1"/>
        <v>-10.854092526690392</v>
      </c>
      <c r="I22" s="409"/>
      <c r="J22" s="410">
        <f>RANK(H22,$H$12:$H$36,1)+COUNTIF($H$22:H22,H22)-1</f>
        <v>6</v>
      </c>
      <c r="K22" s="78" t="str">
        <f>INDEX(B12:H36,MATCH(11,J12:J36,0),1)</f>
        <v>niżański</v>
      </c>
      <c r="L22" s="411">
        <f>INDEX(B12:H36,MATCH(11,J12:J36,0),7)</f>
        <v>-4.8611111111111107</v>
      </c>
    </row>
    <row r="23" spans="2:12" x14ac:dyDescent="0.25">
      <c r="B23" s="12" t="s">
        <v>26</v>
      </c>
      <c r="C23" s="14">
        <v>381</v>
      </c>
      <c r="D23" s="14">
        <v>219</v>
      </c>
      <c r="E23" s="13">
        <v>415</v>
      </c>
      <c r="F23" s="289">
        <v>230</v>
      </c>
      <c r="G23" s="88">
        <f t="shared" si="0"/>
        <v>34</v>
      </c>
      <c r="H23" s="106">
        <f t="shared" si="1"/>
        <v>8.9238845144356951</v>
      </c>
      <c r="I23" s="409"/>
      <c r="J23" s="410">
        <f>RANK(H23,$H$12:$H$36,1)+COUNTIF($H$23:H23,H23)-1</f>
        <v>17</v>
      </c>
      <c r="K23" s="78" t="str">
        <f>INDEX(B12:H36,MATCH(12,J12:J36,0),1)</f>
        <v>przemyski</v>
      </c>
      <c r="L23" s="411">
        <f>INDEX(B12:H36,MATCH(12,J12:J36,0),7)</f>
        <v>-4.5045045045045047</v>
      </c>
    </row>
    <row r="24" spans="2:12" x14ac:dyDescent="0.25">
      <c r="B24" s="12" t="s">
        <v>27</v>
      </c>
      <c r="C24" s="14">
        <v>576</v>
      </c>
      <c r="D24" s="14">
        <v>300</v>
      </c>
      <c r="E24" s="13">
        <v>548</v>
      </c>
      <c r="F24" s="289">
        <v>290</v>
      </c>
      <c r="G24" s="88">
        <f t="shared" si="0"/>
        <v>-28</v>
      </c>
      <c r="H24" s="106">
        <f t="shared" si="1"/>
        <v>-4.8611111111111107</v>
      </c>
      <c r="I24" s="409"/>
      <c r="J24" s="410">
        <f>RANK(H24,$H$12:$H$36,1)+COUNTIF($H$24:H24,H24)-1</f>
        <v>11</v>
      </c>
      <c r="K24" s="78" t="str">
        <f>INDEX(B12:H36,MATCH(13,J12:J36,0),1)</f>
        <v>Rzeszów</v>
      </c>
      <c r="L24" s="411">
        <f>INDEX(B12:H36,MATCH(13,J12:J36,0),7)</f>
        <v>-1.8416206261510129</v>
      </c>
    </row>
    <row r="25" spans="2:12" x14ac:dyDescent="0.25">
      <c r="B25" s="17" t="s">
        <v>28</v>
      </c>
      <c r="C25" s="108">
        <v>444</v>
      </c>
      <c r="D25" s="108">
        <v>243</v>
      </c>
      <c r="E25" s="107">
        <v>424</v>
      </c>
      <c r="F25" s="346">
        <v>198</v>
      </c>
      <c r="G25" s="88">
        <f t="shared" si="0"/>
        <v>-20</v>
      </c>
      <c r="H25" s="106">
        <f t="shared" si="1"/>
        <v>-4.5045045045045047</v>
      </c>
      <c r="I25" s="409"/>
      <c r="J25" s="410">
        <f>RANK(H25,$H$12:$H$36,1)+COUNTIF($H$25:H25,H25)-1</f>
        <v>12</v>
      </c>
      <c r="K25" s="78" t="str">
        <f>INDEX(B12:H36,MATCH(14,J12:J36,0),1)</f>
        <v>przeworski</v>
      </c>
      <c r="L25" s="411">
        <f>INDEX(B12:H36,MATCH(14,J12:J36,0),7)</f>
        <v>-1.5904572564612327</v>
      </c>
    </row>
    <row r="26" spans="2:12" x14ac:dyDescent="0.25">
      <c r="B26" s="17" t="s">
        <v>29</v>
      </c>
      <c r="C26" s="108">
        <v>503</v>
      </c>
      <c r="D26" s="108">
        <v>303</v>
      </c>
      <c r="E26" s="107">
        <v>495</v>
      </c>
      <c r="F26" s="346">
        <v>270</v>
      </c>
      <c r="G26" s="88">
        <f t="shared" si="0"/>
        <v>-8</v>
      </c>
      <c r="H26" s="106">
        <f t="shared" si="1"/>
        <v>-1.5904572564612327</v>
      </c>
      <c r="I26" s="409"/>
      <c r="J26" s="410">
        <f>RANK(H26,$H$12:$H$36,1)+COUNTIF($H$26:H26,H26)-1</f>
        <v>14</v>
      </c>
      <c r="K26" s="78" t="str">
        <f>INDEX(B12:H36,MATCH(15,J12:J36,0),1)</f>
        <v>strzyżowski</v>
      </c>
      <c r="L26" s="411">
        <f>INDEX(B12:H36,MATCH(15,J12:J36,0),7)</f>
        <v>0.63559322033898302</v>
      </c>
    </row>
    <row r="27" spans="2:12" x14ac:dyDescent="0.25">
      <c r="B27" s="17" t="s">
        <v>30</v>
      </c>
      <c r="C27" s="108">
        <v>537</v>
      </c>
      <c r="D27" s="108">
        <v>318</v>
      </c>
      <c r="E27" s="107">
        <v>484</v>
      </c>
      <c r="F27" s="346">
        <v>279</v>
      </c>
      <c r="G27" s="88">
        <f t="shared" si="0"/>
        <v>-53</v>
      </c>
      <c r="H27" s="106">
        <f t="shared" si="1"/>
        <v>-9.8696461824953445</v>
      </c>
      <c r="I27" s="409"/>
      <c r="J27" s="410">
        <f>RANK(H27,$H$12:$H$36,1)+COUNTIF($H$27:H27,H27)-1</f>
        <v>7</v>
      </c>
      <c r="K27" s="78" t="str">
        <f>INDEX(B12:H36,MATCH(16,J12:J36,0),1)</f>
        <v>Przemyśl</v>
      </c>
      <c r="L27" s="411">
        <f>INDEX(B12:H36,MATCH(16,J12:J36,0),7)</f>
        <v>6.7669172932330826</v>
      </c>
    </row>
    <row r="28" spans="2:12" x14ac:dyDescent="0.25">
      <c r="B28" s="17" t="s">
        <v>31</v>
      </c>
      <c r="C28" s="108">
        <v>542</v>
      </c>
      <c r="D28" s="108">
        <v>290</v>
      </c>
      <c r="E28" s="107">
        <v>616</v>
      </c>
      <c r="F28" s="346">
        <v>321</v>
      </c>
      <c r="G28" s="88">
        <f t="shared" si="0"/>
        <v>74</v>
      </c>
      <c r="H28" s="106">
        <f t="shared" si="1"/>
        <v>13.653136531365314</v>
      </c>
      <c r="I28" s="409"/>
      <c r="J28" s="410">
        <f>RANK(H28,$H$12:$H$36,1)+COUNTIF($H$28:H28,H28)-1</f>
        <v>20</v>
      </c>
      <c r="K28" s="78" t="str">
        <f>INDEX(B12:H36,MATCH(17,J12:J36,0),1)</f>
        <v>mielecki</v>
      </c>
      <c r="L28" s="411">
        <f>INDEX(B12:H36,MATCH(17,J12:J36,0),7)</f>
        <v>8.9238845144356951</v>
      </c>
    </row>
    <row r="29" spans="2:12" x14ac:dyDescent="0.25">
      <c r="B29" s="17" t="s">
        <v>32</v>
      </c>
      <c r="C29" s="108">
        <v>298</v>
      </c>
      <c r="D29" s="108">
        <v>148</v>
      </c>
      <c r="E29" s="107">
        <v>333</v>
      </c>
      <c r="F29" s="346">
        <v>188</v>
      </c>
      <c r="G29" s="88">
        <f t="shared" si="0"/>
        <v>35</v>
      </c>
      <c r="H29" s="106">
        <f t="shared" si="1"/>
        <v>11.74496644295302</v>
      </c>
      <c r="I29" s="409"/>
      <c r="J29" s="410">
        <f>RANK(H29,$H$12:$H$36,1)+COUNTIF($H$29:H29,H29)-1</f>
        <v>18</v>
      </c>
      <c r="K29" s="78" t="str">
        <f>INDEX(B12:H36,MATCH(18,J12:J36,0),1)</f>
        <v>sanocki</v>
      </c>
      <c r="L29" s="411">
        <f>INDEX(B12:H36,MATCH(18,J12:J36,0),7)</f>
        <v>11.74496644295302</v>
      </c>
    </row>
    <row r="30" spans="2:12" x14ac:dyDescent="0.25">
      <c r="B30" s="17" t="s">
        <v>33</v>
      </c>
      <c r="C30" s="108">
        <v>298</v>
      </c>
      <c r="D30" s="108">
        <v>174</v>
      </c>
      <c r="E30" s="107">
        <v>262</v>
      </c>
      <c r="F30" s="346">
        <v>142</v>
      </c>
      <c r="G30" s="88">
        <f t="shared" si="0"/>
        <v>-36</v>
      </c>
      <c r="H30" s="106">
        <f t="shared" si="1"/>
        <v>-12.080536912751677</v>
      </c>
      <c r="I30" s="409"/>
      <c r="J30" s="410">
        <f>RANK(H30,$H$12:$H$36,1)+COUNTIF($H$30:H30,H30)-1</f>
        <v>5</v>
      </c>
      <c r="K30" s="78" t="str">
        <f>INDEX(B12:H36,MATCH(19,J12:J36,0),1)</f>
        <v>jasielski</v>
      </c>
      <c r="L30" s="411">
        <f>INDEX(B12:H36,MATCH(19,J12:J36,0),7)</f>
        <v>12.457912457912458</v>
      </c>
    </row>
    <row r="31" spans="2:12" x14ac:dyDescent="0.25">
      <c r="B31" s="17" t="s">
        <v>34</v>
      </c>
      <c r="C31" s="108">
        <v>472</v>
      </c>
      <c r="D31" s="108">
        <v>239</v>
      </c>
      <c r="E31" s="107">
        <v>475</v>
      </c>
      <c r="F31" s="346">
        <v>219</v>
      </c>
      <c r="G31" s="88">
        <f t="shared" si="0"/>
        <v>3</v>
      </c>
      <c r="H31" s="106">
        <f t="shared" si="1"/>
        <v>0.63559322033898302</v>
      </c>
      <c r="I31" s="409"/>
      <c r="J31" s="410">
        <f>RANK(H31,$H$12:$H$36,1)+COUNTIF($H$31:H31,H31)-1</f>
        <v>15</v>
      </c>
      <c r="K31" s="78" t="str">
        <f>INDEX(B12:H36,MATCH(20,J12:J36,0),1)</f>
        <v>rzeszowski</v>
      </c>
      <c r="L31" s="411">
        <f>INDEX(B12:H36,MATCH(20,J12:J36,0),7)</f>
        <v>13.653136531365314</v>
      </c>
    </row>
    <row r="32" spans="2:12" x14ac:dyDescent="0.25">
      <c r="B32" s="17" t="s">
        <v>35</v>
      </c>
      <c r="C32" s="108">
        <v>166</v>
      </c>
      <c r="D32" s="108">
        <v>93</v>
      </c>
      <c r="E32" s="107">
        <v>195</v>
      </c>
      <c r="F32" s="346">
        <v>112</v>
      </c>
      <c r="G32" s="88">
        <f t="shared" si="0"/>
        <v>29</v>
      </c>
      <c r="H32" s="106">
        <f t="shared" si="1"/>
        <v>17.46987951807229</v>
      </c>
      <c r="I32" s="409"/>
      <c r="J32" s="410">
        <f>RANK(H32,$H$12:$H$36,1)+COUNTIF($H$32:H32,H32)-1</f>
        <v>22</v>
      </c>
      <c r="K32" s="78" t="str">
        <f>INDEX(B12:H36,MATCH(21,J12:J36,0),1)</f>
        <v>lubaczowski</v>
      </c>
      <c r="L32" s="411">
        <f>INDEX(B12:H36,MATCH(21,J12:J36,0),7)</f>
        <v>17.032967032967033</v>
      </c>
    </row>
    <row r="33" spans="2:12" x14ac:dyDescent="0.25">
      <c r="B33" s="17" t="s">
        <v>36</v>
      </c>
      <c r="C33" s="108">
        <v>88</v>
      </c>
      <c r="D33" s="108">
        <v>59</v>
      </c>
      <c r="E33" s="107">
        <v>119</v>
      </c>
      <c r="F33" s="346">
        <v>69</v>
      </c>
      <c r="G33" s="88">
        <f t="shared" si="0"/>
        <v>31</v>
      </c>
      <c r="H33" s="106">
        <f t="shared" si="1"/>
        <v>35.227272727272727</v>
      </c>
      <c r="I33" s="409"/>
      <c r="J33" s="410">
        <f>RANK(H33,$H$12:$H$36,1)+COUNTIF($H$33:H33,H33)-1</f>
        <v>25</v>
      </c>
      <c r="K33" s="78" t="str">
        <f>INDEX(B12:H36,MATCH(22,J12:J36,0),1)</f>
        <v>tarnobrzeski</v>
      </c>
      <c r="L33" s="411">
        <f>INDEX(B12:H36,MATCH(22,J12:J36,0),7)</f>
        <v>17.46987951807229</v>
      </c>
    </row>
    <row r="34" spans="2:12" x14ac:dyDescent="0.25">
      <c r="B34" s="17" t="s">
        <v>37</v>
      </c>
      <c r="C34" s="108">
        <v>266</v>
      </c>
      <c r="D34" s="108">
        <v>141</v>
      </c>
      <c r="E34" s="107">
        <v>284</v>
      </c>
      <c r="F34" s="346">
        <v>157</v>
      </c>
      <c r="G34" s="88">
        <f t="shared" si="0"/>
        <v>18</v>
      </c>
      <c r="H34" s="106">
        <f>(E34-C34)*100/C34</f>
        <v>6.7669172932330826</v>
      </c>
      <c r="I34" s="409"/>
      <c r="J34" s="410">
        <f>RANK(H34,$H$12:$H$36,1)+COUNTIF($H$34:H34,H34)-1</f>
        <v>16</v>
      </c>
      <c r="K34" s="78" t="str">
        <f>INDEX(B12:H36,MATCH(23,J12:J36,0),1)</f>
        <v>dębicki</v>
      </c>
      <c r="L34" s="411">
        <f>INDEX(B12:H36,MATCH(23,J12:J36,0),7)</f>
        <v>18.678160919540229</v>
      </c>
    </row>
    <row r="35" spans="2:12" x14ac:dyDescent="0.25">
      <c r="B35" s="17" t="s">
        <v>38</v>
      </c>
      <c r="C35" s="108">
        <v>543</v>
      </c>
      <c r="D35" s="108">
        <v>303</v>
      </c>
      <c r="E35" s="107">
        <v>533</v>
      </c>
      <c r="F35" s="346">
        <v>303</v>
      </c>
      <c r="G35" s="88">
        <f t="shared" si="0"/>
        <v>-10</v>
      </c>
      <c r="H35" s="106">
        <f t="shared" si="1"/>
        <v>-1.8416206261510129</v>
      </c>
      <c r="I35" s="409"/>
      <c r="J35" s="410">
        <f>RANK(H35,$H$12:$H$36,1)+COUNTIF($H$35:H35,H35)-1</f>
        <v>13</v>
      </c>
      <c r="K35" s="78" t="str">
        <f>INDEX(B12:H36,MATCH(24,J12:J36,0),1)</f>
        <v>krośnieński</v>
      </c>
      <c r="L35" s="411">
        <f>INDEX(B12:H36,MATCH(24,J12:J36,0),7)</f>
        <v>24.596774193548388</v>
      </c>
    </row>
    <row r="36" spans="2:12" ht="15.75" thickBot="1" x14ac:dyDescent="0.3">
      <c r="B36" s="18" t="s">
        <v>39</v>
      </c>
      <c r="C36" s="111">
        <v>196</v>
      </c>
      <c r="D36" s="111">
        <v>109</v>
      </c>
      <c r="E36" s="109">
        <v>128</v>
      </c>
      <c r="F36" s="347">
        <v>73</v>
      </c>
      <c r="G36" s="89">
        <f t="shared" si="0"/>
        <v>-68</v>
      </c>
      <c r="H36" s="112">
        <f t="shared" si="1"/>
        <v>-34.693877551020407</v>
      </c>
      <c r="I36" s="409"/>
      <c r="J36" s="410">
        <f>RANK(H36,$H$12:$H$36,1)+COUNTIF($H$36:H36,H36)-1</f>
        <v>1</v>
      </c>
      <c r="K36" s="78" t="str">
        <f>INDEX(B12:H36,MATCH(25,J12:J36,0),1)</f>
        <v>Krosno</v>
      </c>
      <c r="L36" s="411">
        <f>INDEX(B12:H36,MATCH(25,J12:J36,0),7)</f>
        <v>35.227272727272727</v>
      </c>
    </row>
    <row r="37" spans="2:12" x14ac:dyDescent="0.25">
      <c r="C37" s="366">
        <f>SUM(C12:C36)</f>
        <v>9704</v>
      </c>
      <c r="D37" s="366">
        <f>SUM(D12:D36)</f>
        <v>5321</v>
      </c>
      <c r="E37" s="366">
        <f>SUM(E12:E36)</f>
        <v>9522</v>
      </c>
      <c r="F37" s="366">
        <f>SUM(F12:F36)</f>
        <v>5062</v>
      </c>
    </row>
  </sheetData>
  <mergeCells count="6">
    <mergeCell ref="B11:H11"/>
    <mergeCell ref="B5:B6"/>
    <mergeCell ref="E5:F5"/>
    <mergeCell ref="C5:D5"/>
    <mergeCell ref="G5:G6"/>
    <mergeCell ref="H5:H6"/>
  </mergeCells>
  <printOptions horizontalCentered="1"/>
  <pageMargins left="0" right="0" top="1.0236220472440944" bottom="0.31496062992125984" header="0" footer="0"/>
  <pageSetup paperSize="9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25</vt:i4>
      </vt:variant>
    </vt:vector>
  </HeadingPairs>
  <TitlesOfParts>
    <vt:vector size="25" baseType="lpstr">
      <vt:lpstr>T.I</vt:lpstr>
      <vt:lpstr>T.II</vt:lpstr>
      <vt:lpstr>T.II.A</vt:lpstr>
      <vt:lpstr>T.III</vt:lpstr>
      <vt:lpstr>T.IV</vt:lpstr>
      <vt:lpstr>T.V</vt:lpstr>
      <vt:lpstr>T.VI</vt:lpstr>
      <vt:lpstr>T.VII</vt:lpstr>
      <vt:lpstr>T.VIII</vt:lpstr>
      <vt:lpstr>T.IX T.X T.XI</vt:lpstr>
      <vt:lpstr>T.XII</vt:lpstr>
      <vt:lpstr>T.XIII</vt:lpstr>
      <vt:lpstr>T.XIV</vt:lpstr>
      <vt:lpstr>T.XV</vt:lpstr>
      <vt:lpstr>T.XVI</vt:lpstr>
      <vt:lpstr>T.XVII</vt:lpstr>
      <vt:lpstr>T.XVIII</vt:lpstr>
      <vt:lpstr>T.XIX</vt:lpstr>
      <vt:lpstr>T.XX</vt:lpstr>
      <vt:lpstr>T.XXI</vt:lpstr>
      <vt:lpstr>T.XXII</vt:lpstr>
      <vt:lpstr>T.XXIII</vt:lpstr>
      <vt:lpstr>T.XXIV</vt:lpstr>
      <vt:lpstr>T.XXV</vt:lpstr>
      <vt:lpstr>T.XXVI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Kocaj</dc:creator>
  <cp:lastModifiedBy>Piotr Kocaj</cp:lastModifiedBy>
  <cp:lastPrinted>2022-08-04T08:34:58Z</cp:lastPrinted>
  <dcterms:created xsi:type="dcterms:W3CDTF">2016-01-29T08:03:05Z</dcterms:created>
  <dcterms:modified xsi:type="dcterms:W3CDTF">2023-07-26T11:59:04Z</dcterms:modified>
</cp:coreProperties>
</file>